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autoCompressPictures="0" defaultThemeVersion="124226"/>
  <mc:AlternateContent xmlns:mc="http://schemas.openxmlformats.org/markup-compatibility/2006">
    <mc:Choice Requires="x15">
      <x15ac:absPath xmlns:x15ac="http://schemas.microsoft.com/office/spreadsheetml/2010/11/ac" url="/Users/Mat/Mi unidad (excelfutbol@gmail.com)/2026/SIN PREDICTOR/"/>
    </mc:Choice>
  </mc:AlternateContent>
  <xr:revisionPtr revIDLastSave="0" documentId="13_ncr:1_{798D1AAC-B865-2C48-9FA5-488E5F72F965}" xr6:coauthVersionLast="47" xr6:coauthVersionMax="47" xr10:uidLastSave="{00000000-0000-0000-0000-000000000000}"/>
  <workbookProtection workbookAlgorithmName="SHA-512" workbookHashValue="euVKK6JtwcOAVu4oR0JOcV1GkEjxLs4TzOG8iZmiHb9wb3JVuooED0DIzwEbUFMnmXXVl4D4SFYWMZ4nz6gcww==" workbookSaltValue="ge1aTcoKNVg5XeEOejsgxw==" workbookSpinCount="100000" lockStructure="1"/>
  <bookViews>
    <workbookView xWindow="80" yWindow="520" windowWidth="28520" windowHeight="15940" tabRatio="749" xr2:uid="{00000000-000D-0000-FFFF-FFFF00000000}"/>
  </bookViews>
  <sheets>
    <sheet name="Home" sheetId="30" r:id="rId1"/>
    <sheet name="WORLDCUP" sheetId="3" r:id="rId2"/>
    <sheet name="Pool" sheetId="31" r:id="rId3"/>
    <sheet name="Fixture" sheetId="45" r:id="rId4"/>
    <sheet name="Idiomas" sheetId="36" state="veryHidden" r:id="rId5"/>
    <sheet name="Combinaciones" sheetId="40" state="veryHidden" r:id="rId6"/>
    <sheet name="Credits" sheetId="34" r:id="rId7"/>
    <sheet name="Equipos" sheetId="6" state="veryHidden" r:id="rId8"/>
    <sheet name="Horarios" sheetId="32" state="veryHidden" r:id="rId9"/>
  </sheets>
  <definedNames>
    <definedName name="_xlnm._FilterDatabase" localSheetId="5" hidden="1">Combinaciones!$N$1:$W$496</definedName>
    <definedName name="_xlnm._FilterDatabase" localSheetId="8" hidden="1">Horarios!$Q$2:$Q$50</definedName>
    <definedName name="_xlnm._FilterDatabase" localSheetId="2" hidden="1">Pool!$A$1:$N$197</definedName>
    <definedName name="_xlnm._FilterDatabase" localSheetId="1" hidden="1">WORLDCUP!$BB$43:$DR$166</definedName>
    <definedName name="FG_GolesLocal">WORLDCUP!$AC$4:$AC$97</definedName>
    <definedName name="FG_GolesVisitante">WORLDCUP!$AD$4:$AD$97</definedName>
    <definedName name="FGLocal">WORLDCUP!$AA$4:$AA$97</definedName>
    <definedName name="FGVisitante">WORLDCUP!$AF$4:$AF$97</definedName>
    <definedName name="Ganador">WORLDCUP!$D$4:$D$97</definedName>
    <definedName name="Part1Empate1L">WORLDCUP!$E$4:$E$97</definedName>
    <definedName name="Part1Empate1V">WORLDCUP!$F$4:$F$97</definedName>
    <definedName name="Part1Empate2L">WORLDCUP!$H$4:$H$97</definedName>
    <definedName name="Part1Empate2V">WORLDCUP!$I$4:$I$97</definedName>
    <definedName name="Part1Empate3L">WORLDCUP!$K$4:$K$97</definedName>
    <definedName name="Part1Empate3V">WORLDCUP!$L$4:$L$97</definedName>
    <definedName name="Part2Empate4L">WORLDCUP!$N$4:$N$97</definedName>
    <definedName name="Part2Empate4V">WORLDCUP!$O$4:$O$97</definedName>
    <definedName name="Part2Empate5L">WORLDCUP!$Q$4:$Q$97</definedName>
    <definedName name="Part2Empate5V">WORLDCUP!$R$4:$R$97</definedName>
    <definedName name="Part2Empate6L">WORLDCUP!$T$4:$T$97</definedName>
    <definedName name="Part2Empate6V">WORLDCUP!$U$4:$U$97</definedName>
    <definedName name="Ver_flag_local">IFERROR(IF(TYPE(Equipos!$M$2)=128,IF(ISNUMBER(SEARCH("Mac",INFO("sistema"))),INDEX(Equipos!$L$2:$L$49,MATCH(WORLDCUP!XFD1,Equipos!$K$2:$K$49,0)),INDEX(Equipos!$M$2:$M$49,MATCH(WORLDCUP!XFD1,Equipos!$K$2:$K$49,0))),""),"")</definedName>
    <definedName name="Ver_flag_visit">IFERROR(IF(TYPE(Equipos!$M$2)=128,IF(ISNUMBER(SEARCH("Mac",INFO("sistema"))),INDEX(Equipos!$L$2:$L$49,MATCH(WORLDCUP!B1,Equipos!$K$2:$K$49,0)),INDEX(Equipos!$M$2:$M$49,MATCH(WORLDCUP!B1,Equipos!$K$2:$K$49,0))),""),"")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O87" i="34" l="1"/>
  <c r="N87" i="34"/>
  <c r="AW26" i="45" l="1"/>
  <c r="AV26" i="45"/>
  <c r="AW25" i="45"/>
  <c r="AV25" i="45"/>
  <c r="AS32" i="45"/>
  <c r="AR32" i="45"/>
  <c r="AS31" i="45"/>
  <c r="AR31" i="45"/>
  <c r="AO38" i="45"/>
  <c r="AN38" i="45"/>
  <c r="AO37" i="45"/>
  <c r="AN37" i="45"/>
  <c r="AO14" i="45"/>
  <c r="AN14" i="45"/>
  <c r="AO13" i="45"/>
  <c r="AN13" i="45"/>
  <c r="AK44" i="45"/>
  <c r="AJ44" i="45"/>
  <c r="AK43" i="45"/>
  <c r="AJ43" i="45"/>
  <c r="AK32" i="45"/>
  <c r="AJ32" i="45"/>
  <c r="AK31" i="45"/>
  <c r="AJ31" i="45"/>
  <c r="AK20" i="45"/>
  <c r="AJ20" i="45"/>
  <c r="AK19" i="45"/>
  <c r="AJ19" i="45"/>
  <c r="AK8" i="45"/>
  <c r="AJ8" i="45"/>
  <c r="AK7" i="45"/>
  <c r="AJ7" i="45"/>
  <c r="AG47" i="45"/>
  <c r="AF47" i="45"/>
  <c r="AG46" i="45"/>
  <c r="AF46" i="45"/>
  <c r="AG41" i="45"/>
  <c r="AF41" i="45"/>
  <c r="AG40" i="45"/>
  <c r="AF40" i="45"/>
  <c r="AG35" i="45"/>
  <c r="AF35" i="45"/>
  <c r="AG34" i="45"/>
  <c r="AF34" i="45"/>
  <c r="AG29" i="45"/>
  <c r="AF29" i="45"/>
  <c r="AG28" i="45"/>
  <c r="AF28" i="45"/>
  <c r="AG23" i="45"/>
  <c r="AF23" i="45"/>
  <c r="AG22" i="45"/>
  <c r="AF22" i="45"/>
  <c r="AG17" i="45"/>
  <c r="AF17" i="45"/>
  <c r="AG16" i="45"/>
  <c r="AF16" i="45"/>
  <c r="AG11" i="45"/>
  <c r="AF11" i="45"/>
  <c r="AG10" i="45"/>
  <c r="AF10" i="45"/>
  <c r="AG5" i="45"/>
  <c r="AF5" i="45"/>
  <c r="AG4" i="45"/>
  <c r="AF4" i="45"/>
  <c r="AC49" i="45"/>
  <c r="AB49" i="45"/>
  <c r="AC48" i="45"/>
  <c r="AB48" i="45"/>
  <c r="AC46" i="45"/>
  <c r="AB46" i="45"/>
  <c r="AC45" i="45"/>
  <c r="AB45" i="45"/>
  <c r="AC43" i="45"/>
  <c r="AB43" i="45"/>
  <c r="AC42" i="45"/>
  <c r="AB42" i="45"/>
  <c r="AC40" i="45"/>
  <c r="AB40" i="45"/>
  <c r="AC39" i="45"/>
  <c r="AB39" i="45"/>
  <c r="AC37" i="45"/>
  <c r="AB37" i="45"/>
  <c r="AC36" i="45"/>
  <c r="AB36" i="45"/>
  <c r="AC34" i="45"/>
  <c r="AB34" i="45"/>
  <c r="AC33" i="45"/>
  <c r="AB33" i="45"/>
  <c r="AC31" i="45"/>
  <c r="AB31" i="45"/>
  <c r="AC30" i="45"/>
  <c r="AB30" i="45"/>
  <c r="AC28" i="45"/>
  <c r="AB28" i="45"/>
  <c r="AC27" i="45"/>
  <c r="AB27" i="45"/>
  <c r="AC25" i="45"/>
  <c r="AB25" i="45"/>
  <c r="AC24" i="45"/>
  <c r="AB24" i="45"/>
  <c r="AC22" i="45"/>
  <c r="AB22" i="45"/>
  <c r="AC21" i="45"/>
  <c r="AB21" i="45"/>
  <c r="AC19" i="45"/>
  <c r="AB19" i="45"/>
  <c r="AC18" i="45"/>
  <c r="AB18" i="45"/>
  <c r="AC16" i="45"/>
  <c r="AB16" i="45"/>
  <c r="AC15" i="45"/>
  <c r="AB15" i="45"/>
  <c r="AC13" i="45"/>
  <c r="AB13" i="45"/>
  <c r="AC12" i="45"/>
  <c r="AB12" i="45"/>
  <c r="AC10" i="45"/>
  <c r="AB10" i="45"/>
  <c r="AC9" i="45"/>
  <c r="AB9" i="45"/>
  <c r="AC7" i="45"/>
  <c r="AB7" i="45"/>
  <c r="AC6" i="45"/>
  <c r="AB6" i="45"/>
  <c r="AC4" i="45"/>
  <c r="AB4" i="45"/>
  <c r="AC3" i="45"/>
  <c r="AB3" i="45"/>
  <c r="BB57" i="3"/>
  <c r="BB58" i="3" l="1"/>
  <c r="BO69" i="3"/>
  <c r="BO68" i="3"/>
  <c r="BO67" i="3"/>
  <c r="BO66" i="3"/>
  <c r="BO65" i="3"/>
  <c r="BO64" i="3"/>
  <c r="BO63" i="3"/>
  <c r="BO62" i="3"/>
  <c r="BO61" i="3"/>
  <c r="BO60" i="3"/>
  <c r="BO59" i="3"/>
  <c r="BO58" i="3"/>
  <c r="FA6144" i="34"/>
  <c r="EZ6144" i="34"/>
  <c r="AC28" i="32" s="1"/>
  <c r="Y91" i="34"/>
  <c r="X91" i="34"/>
  <c r="W91" i="34"/>
  <c r="V91" i="34"/>
  <c r="U91" i="34"/>
  <c r="M27" i="6" l="1"/>
  <c r="L27" i="6"/>
  <c r="AD28" i="32"/>
  <c r="EV6144" i="34"/>
  <c r="H227" i="36" s="1"/>
  <c r="EU6119" i="34"/>
  <c r="G202" i="36" s="1"/>
  <c r="EV6119" i="34"/>
  <c r="H202" i="36" s="1"/>
  <c r="EU6120" i="34"/>
  <c r="G203" i="36" s="1"/>
  <c r="EV6120" i="34"/>
  <c r="H203" i="36" s="1"/>
  <c r="EU6121" i="34"/>
  <c r="G204" i="36" s="1"/>
  <c r="EV6121" i="34"/>
  <c r="H204" i="36" s="1"/>
  <c r="EU6122" i="34"/>
  <c r="G205" i="36" s="1"/>
  <c r="EV6122" i="34"/>
  <c r="H205" i="36" s="1"/>
  <c r="EU6123" i="34"/>
  <c r="G206" i="36" s="1"/>
  <c r="EV6123" i="34"/>
  <c r="H206" i="36" s="1"/>
  <c r="EU6124" i="34"/>
  <c r="G207" i="36" s="1"/>
  <c r="EV6124" i="34"/>
  <c r="H207" i="36" s="1"/>
  <c r="EU6125" i="34"/>
  <c r="G208" i="36" s="1"/>
  <c r="EV6125" i="34"/>
  <c r="H208" i="36" s="1"/>
  <c r="EU6126" i="34"/>
  <c r="G209" i="36" s="1"/>
  <c r="EV6126" i="34"/>
  <c r="H209" i="36" s="1"/>
  <c r="EU6127" i="34"/>
  <c r="G210" i="36" s="1"/>
  <c r="EV6127" i="34"/>
  <c r="H210" i="36" s="1"/>
  <c r="EU6128" i="34"/>
  <c r="G211" i="36" s="1"/>
  <c r="EV6128" i="34"/>
  <c r="H211" i="36" s="1"/>
  <c r="EU6129" i="34"/>
  <c r="G212" i="36" s="1"/>
  <c r="EV6129" i="34"/>
  <c r="H212" i="36" s="1"/>
  <c r="EU6130" i="34"/>
  <c r="G213" i="36" s="1"/>
  <c r="EV6130" i="34"/>
  <c r="H213" i="36" s="1"/>
  <c r="EU6131" i="34"/>
  <c r="G214" i="36" s="1"/>
  <c r="EV6131" i="34"/>
  <c r="H214" i="36" s="1"/>
  <c r="EU6132" i="34"/>
  <c r="G215" i="36" s="1"/>
  <c r="EV6132" i="34"/>
  <c r="H215" i="36" s="1"/>
  <c r="EU6133" i="34"/>
  <c r="G216" i="36" s="1"/>
  <c r="EV6133" i="34"/>
  <c r="H216" i="36" s="1"/>
  <c r="EU6134" i="34"/>
  <c r="G217" i="36" s="1"/>
  <c r="EV6134" i="34"/>
  <c r="H217" i="36" s="1"/>
  <c r="EU6135" i="34"/>
  <c r="G218" i="36" s="1"/>
  <c r="EV6135" i="34"/>
  <c r="H218" i="36" s="1"/>
  <c r="EU6136" i="34"/>
  <c r="G219" i="36" s="1"/>
  <c r="EV6136" i="34"/>
  <c r="H219" i="36" s="1"/>
  <c r="EU6137" i="34"/>
  <c r="G220" i="36" s="1"/>
  <c r="EV6137" i="34"/>
  <c r="H220" i="36" s="1"/>
  <c r="EU6138" i="34"/>
  <c r="G221" i="36" s="1"/>
  <c r="EV6138" i="34"/>
  <c r="H221" i="36" s="1"/>
  <c r="EU6139" i="34"/>
  <c r="G222" i="36" s="1"/>
  <c r="EV6139" i="34"/>
  <c r="H222" i="36" s="1"/>
  <c r="EU6140" i="34"/>
  <c r="G223" i="36" s="1"/>
  <c r="EV6140" i="34"/>
  <c r="H223" i="36" s="1"/>
  <c r="EU6141" i="34"/>
  <c r="G224" i="36" s="1"/>
  <c r="EV6141" i="34"/>
  <c r="H224" i="36" s="1"/>
  <c r="EU6142" i="34"/>
  <c r="G225" i="36" s="1"/>
  <c r="EV6142" i="34"/>
  <c r="H225" i="36" s="1"/>
  <c r="EU6143" i="34"/>
  <c r="G226" i="36" s="1"/>
  <c r="EV6143" i="34"/>
  <c r="H226" i="36" s="1"/>
  <c r="EU6145" i="34"/>
  <c r="G228" i="36" s="1"/>
  <c r="EV6145" i="34"/>
  <c r="H228" i="36" s="1"/>
  <c r="EU6146" i="34"/>
  <c r="G229" i="36" s="1"/>
  <c r="EV6146" i="34"/>
  <c r="H229" i="36" s="1"/>
  <c r="EU6147" i="34"/>
  <c r="G230" i="36" s="1"/>
  <c r="EV6147" i="34"/>
  <c r="H230" i="36" s="1"/>
  <c r="EU6148" i="34"/>
  <c r="G231" i="36" s="1"/>
  <c r="EV6148" i="34"/>
  <c r="H231" i="36" s="1"/>
  <c r="EU6149" i="34"/>
  <c r="G232" i="36" s="1"/>
  <c r="EV6149" i="34"/>
  <c r="H232" i="36" s="1"/>
  <c r="EU6150" i="34"/>
  <c r="G233" i="36" s="1"/>
  <c r="EV6150" i="34"/>
  <c r="H233" i="36" s="1"/>
  <c r="EU6151" i="34"/>
  <c r="G234" i="36" s="1"/>
  <c r="EV6151" i="34"/>
  <c r="H234" i="36" s="1"/>
  <c r="EU6152" i="34"/>
  <c r="G235" i="36" s="1"/>
  <c r="EV6152" i="34"/>
  <c r="H235" i="36" s="1"/>
  <c r="EU6153" i="34"/>
  <c r="G236" i="36" s="1"/>
  <c r="EV6153" i="34"/>
  <c r="H236" i="36" s="1"/>
  <c r="EU6154" i="34"/>
  <c r="G237" i="36" s="1"/>
  <c r="EV6154" i="34"/>
  <c r="H237" i="36" s="1"/>
  <c r="EU6155" i="34"/>
  <c r="G238" i="36" s="1"/>
  <c r="EV6155" i="34"/>
  <c r="H238" i="36" s="1"/>
  <c r="EU6156" i="34"/>
  <c r="G239" i="36" s="1"/>
  <c r="EV6156" i="34"/>
  <c r="H239" i="36" s="1"/>
  <c r="EU6157" i="34"/>
  <c r="G240" i="36" s="1"/>
  <c r="EV6157" i="34"/>
  <c r="H240" i="36" s="1"/>
  <c r="EU6158" i="34"/>
  <c r="G241" i="36" s="1"/>
  <c r="EV6158" i="34"/>
  <c r="H241" i="36" s="1"/>
  <c r="EU6159" i="34"/>
  <c r="G242" i="36" s="1"/>
  <c r="EV6159" i="34"/>
  <c r="H242" i="36" s="1"/>
  <c r="EU6160" i="34"/>
  <c r="G243" i="36" s="1"/>
  <c r="EV6160" i="34"/>
  <c r="H243" i="36" s="1"/>
  <c r="EU6161" i="34"/>
  <c r="G244" i="36" s="1"/>
  <c r="EV6161" i="34"/>
  <c r="H244" i="36" s="1"/>
  <c r="EU6162" i="34"/>
  <c r="G245" i="36" s="1"/>
  <c r="EV6162" i="34"/>
  <c r="H245" i="36" s="1"/>
  <c r="EU6163" i="34"/>
  <c r="G246" i="36" s="1"/>
  <c r="EV6163" i="34"/>
  <c r="H246" i="36" s="1"/>
  <c r="EU6164" i="34"/>
  <c r="G247" i="36" s="1"/>
  <c r="EV6164" i="34"/>
  <c r="H247" i="36" s="1"/>
  <c r="EU6165" i="34"/>
  <c r="G248" i="36" s="1"/>
  <c r="EV6165" i="34"/>
  <c r="H248" i="36" s="1"/>
  <c r="EU6166" i="34"/>
  <c r="G249" i="36" s="1"/>
  <c r="EV6166" i="34"/>
  <c r="H249" i="36" s="1"/>
  <c r="Z147" i="3"/>
  <c r="Z143" i="3"/>
  <c r="Z139" i="3"/>
  <c r="Z138" i="3"/>
  <c r="Z134" i="3"/>
  <c r="Z133" i="3"/>
  <c r="Z132" i="3"/>
  <c r="Z131" i="3"/>
  <c r="Z127" i="3"/>
  <c r="Z126" i="3"/>
  <c r="Z125" i="3"/>
  <c r="Z124" i="3"/>
  <c r="Z123" i="3"/>
  <c r="Z122" i="3"/>
  <c r="Z121" i="3"/>
  <c r="Z120" i="3"/>
  <c r="Z116" i="3"/>
  <c r="Z115" i="3"/>
  <c r="Z114" i="3"/>
  <c r="Z113" i="3"/>
  <c r="Z112" i="3"/>
  <c r="Z111" i="3"/>
  <c r="Z110" i="3"/>
  <c r="Z109" i="3"/>
  <c r="Z108" i="3"/>
  <c r="Z107" i="3"/>
  <c r="Z106" i="3"/>
  <c r="Z105" i="3"/>
  <c r="Z104" i="3"/>
  <c r="Z103" i="3"/>
  <c r="Z102" i="3"/>
  <c r="Z101" i="3"/>
  <c r="B2" i="36"/>
  <c r="D124" i="36" s="1"/>
  <c r="D54" i="31" s="1"/>
  <c r="D97" i="3"/>
  <c r="D28" i="3"/>
  <c r="D31" i="3"/>
  <c r="D32" i="3"/>
  <c r="D30" i="3"/>
  <c r="D33" i="3"/>
  <c r="D29" i="3"/>
  <c r="D37" i="3"/>
  <c r="D39" i="3"/>
  <c r="D41" i="3"/>
  <c r="D38" i="3"/>
  <c r="D40" i="3"/>
  <c r="D36" i="3"/>
  <c r="D44" i="3"/>
  <c r="D46" i="3"/>
  <c r="D48" i="3"/>
  <c r="D47" i="3"/>
  <c r="D49" i="3"/>
  <c r="D45" i="3"/>
  <c r="D52" i="3"/>
  <c r="D54" i="3"/>
  <c r="D57" i="3"/>
  <c r="D55" i="3"/>
  <c r="D56" i="3"/>
  <c r="D53" i="3"/>
  <c r="D60" i="3"/>
  <c r="D63" i="3"/>
  <c r="D65" i="3"/>
  <c r="D62" i="3"/>
  <c r="D64" i="3"/>
  <c r="D61" i="3"/>
  <c r="D69" i="3"/>
  <c r="D71" i="3"/>
  <c r="D73" i="3"/>
  <c r="D70" i="3"/>
  <c r="D72" i="3"/>
  <c r="D68" i="3"/>
  <c r="D76" i="3"/>
  <c r="D79" i="3"/>
  <c r="D80" i="3"/>
  <c r="D78" i="3"/>
  <c r="D81" i="3"/>
  <c r="D77" i="3"/>
  <c r="D85" i="3"/>
  <c r="D87" i="3"/>
  <c r="D89" i="3"/>
  <c r="D86" i="3"/>
  <c r="D88" i="3"/>
  <c r="D84" i="3"/>
  <c r="D92" i="3"/>
  <c r="D94" i="3"/>
  <c r="D96" i="3"/>
  <c r="D95" i="3"/>
  <c r="D93" i="3"/>
  <c r="D6" i="3"/>
  <c r="D9" i="3"/>
  <c r="D7" i="3"/>
  <c r="D8" i="3"/>
  <c r="D15" i="3"/>
  <c r="D17" i="3"/>
  <c r="D14" i="3"/>
  <c r="D16" i="3"/>
  <c r="D23" i="3"/>
  <c r="D25" i="3"/>
  <c r="D22" i="3"/>
  <c r="D24" i="3"/>
  <c r="AI6" i="3"/>
  <c r="AI7" i="3"/>
  <c r="AI8" i="3"/>
  <c r="AI9" i="3"/>
  <c r="D5" i="3"/>
  <c r="D12" i="3"/>
  <c r="D13" i="3"/>
  <c r="D21" i="3"/>
  <c r="D20" i="3"/>
  <c r="D4" i="3"/>
  <c r="AD50" i="32"/>
  <c r="AD51" i="32"/>
  <c r="AD52" i="32"/>
  <c r="AD53" i="32"/>
  <c r="AD54" i="32"/>
  <c r="AD55" i="32"/>
  <c r="AD56" i="32"/>
  <c r="AD57" i="32"/>
  <c r="AD58" i="32"/>
  <c r="AD59" i="32"/>
  <c r="AD60" i="32"/>
  <c r="AD61" i="32"/>
  <c r="AD62" i="32"/>
  <c r="AD63" i="32"/>
  <c r="AD64" i="32"/>
  <c r="AD65" i="32"/>
  <c r="AD66" i="32"/>
  <c r="AD67" i="32"/>
  <c r="AD68" i="32"/>
  <c r="AD69" i="32"/>
  <c r="AD70" i="32"/>
  <c r="AD71" i="32"/>
  <c r="AD72" i="32"/>
  <c r="AD73" i="32"/>
  <c r="AD74" i="32"/>
  <c r="AD75" i="32"/>
  <c r="AD76" i="32"/>
  <c r="AD77" i="32"/>
  <c r="AD78" i="32"/>
  <c r="AD79" i="32"/>
  <c r="AD80" i="32"/>
  <c r="AD81" i="32"/>
  <c r="AD82" i="32"/>
  <c r="AD83" i="32"/>
  <c r="AD84" i="32"/>
  <c r="AD85" i="32"/>
  <c r="AD86" i="32"/>
  <c r="AD49" i="32"/>
  <c r="AD48" i="32"/>
  <c r="AD47" i="32"/>
  <c r="AD46" i="32"/>
  <c r="AD45" i="32"/>
  <c r="AD44" i="32"/>
  <c r="AD43" i="32"/>
  <c r="AD42" i="32"/>
  <c r="AD41" i="32"/>
  <c r="AD40" i="32"/>
  <c r="AD39" i="32"/>
  <c r="AD38" i="32"/>
  <c r="AD37" i="32"/>
  <c r="AD36" i="32"/>
  <c r="AD35" i="32"/>
  <c r="AD34" i="32"/>
  <c r="AD33" i="32"/>
  <c r="AD32" i="32"/>
  <c r="AD31" i="32"/>
  <c r="AD30" i="32"/>
  <c r="AD29" i="32"/>
  <c r="AD27" i="32"/>
  <c r="AD26" i="32"/>
  <c r="AD25" i="32"/>
  <c r="AD24" i="32"/>
  <c r="AD23" i="32"/>
  <c r="AD22" i="32"/>
  <c r="AD21" i="32"/>
  <c r="AD20" i="32"/>
  <c r="AD19" i="32"/>
  <c r="AD18" i="32"/>
  <c r="AD17" i="32"/>
  <c r="AD16" i="32"/>
  <c r="AD15" i="32"/>
  <c r="AD14" i="32"/>
  <c r="AD13" i="32"/>
  <c r="AD12" i="32"/>
  <c r="AD11" i="32"/>
  <c r="AD10" i="32"/>
  <c r="AD9" i="32"/>
  <c r="AD8" i="32"/>
  <c r="AD7" i="32"/>
  <c r="AD6" i="32"/>
  <c r="AD5" i="32"/>
  <c r="AD4" i="32"/>
  <c r="AD3" i="32"/>
  <c r="D6" i="45"/>
  <c r="D5" i="45"/>
  <c r="D8" i="45"/>
  <c r="D7" i="45"/>
  <c r="E6" i="45"/>
  <c r="E5" i="45"/>
  <c r="E4" i="45"/>
  <c r="D4" i="45"/>
  <c r="D3" i="45"/>
  <c r="E8" i="45"/>
  <c r="E7" i="45"/>
  <c r="Q48" i="45"/>
  <c r="P48" i="45"/>
  <c r="Q47" i="45"/>
  <c r="P47" i="45"/>
  <c r="Q46" i="45"/>
  <c r="P46" i="45"/>
  <c r="Q45" i="45"/>
  <c r="P45" i="45"/>
  <c r="Q44" i="45"/>
  <c r="P44" i="45"/>
  <c r="Q43" i="45"/>
  <c r="P43" i="45"/>
  <c r="E48" i="45"/>
  <c r="D48" i="45"/>
  <c r="E47" i="45"/>
  <c r="D47" i="45"/>
  <c r="E46" i="45"/>
  <c r="D46" i="45"/>
  <c r="E45" i="45"/>
  <c r="D45" i="45"/>
  <c r="E44" i="45"/>
  <c r="D44" i="45"/>
  <c r="E43" i="45"/>
  <c r="D43" i="45"/>
  <c r="Q40" i="45"/>
  <c r="P40" i="45"/>
  <c r="Q39" i="45"/>
  <c r="P39" i="45"/>
  <c r="Q38" i="45"/>
  <c r="P38" i="45"/>
  <c r="Q37" i="45"/>
  <c r="P37" i="45"/>
  <c r="Q36" i="45"/>
  <c r="P36" i="45"/>
  <c r="Q35" i="45"/>
  <c r="P35" i="45"/>
  <c r="Q32" i="45"/>
  <c r="P32" i="45"/>
  <c r="Q31" i="45"/>
  <c r="P31" i="45"/>
  <c r="Q30" i="45"/>
  <c r="P30" i="45"/>
  <c r="Q29" i="45"/>
  <c r="P29" i="45"/>
  <c r="Q28" i="45"/>
  <c r="P28" i="45"/>
  <c r="Q27" i="45"/>
  <c r="P27" i="45"/>
  <c r="Q24" i="45"/>
  <c r="P24" i="45"/>
  <c r="Q23" i="45"/>
  <c r="P23" i="45"/>
  <c r="Q22" i="45"/>
  <c r="P22" i="45"/>
  <c r="Q21" i="45"/>
  <c r="P21" i="45"/>
  <c r="Q20" i="45"/>
  <c r="P20" i="45"/>
  <c r="Q19" i="45"/>
  <c r="P19" i="45"/>
  <c r="Q16" i="45"/>
  <c r="P16" i="45"/>
  <c r="Q15" i="45"/>
  <c r="P15" i="45"/>
  <c r="Q14" i="45"/>
  <c r="P14" i="45"/>
  <c r="Q13" i="45"/>
  <c r="P13" i="45"/>
  <c r="Q12" i="45"/>
  <c r="P12" i="45"/>
  <c r="Q11" i="45"/>
  <c r="P11" i="45"/>
  <c r="Q8" i="45"/>
  <c r="P8" i="45"/>
  <c r="Q7" i="45"/>
  <c r="P7" i="45"/>
  <c r="Q6" i="45"/>
  <c r="P6" i="45"/>
  <c r="Q5" i="45"/>
  <c r="P5" i="45"/>
  <c r="Q4" i="45"/>
  <c r="P4" i="45"/>
  <c r="Q3" i="45"/>
  <c r="P3" i="45"/>
  <c r="E40" i="45"/>
  <c r="D40" i="45"/>
  <c r="E39" i="45"/>
  <c r="D39" i="45"/>
  <c r="E38" i="45"/>
  <c r="D38" i="45"/>
  <c r="E37" i="45"/>
  <c r="D37" i="45"/>
  <c r="E36" i="45"/>
  <c r="D36" i="45"/>
  <c r="E35" i="45"/>
  <c r="D35" i="45"/>
  <c r="E32" i="45"/>
  <c r="D32" i="45"/>
  <c r="E31" i="45"/>
  <c r="D31" i="45"/>
  <c r="E30" i="45"/>
  <c r="D30" i="45"/>
  <c r="E29" i="45"/>
  <c r="D29" i="45"/>
  <c r="E28" i="45"/>
  <c r="D28" i="45"/>
  <c r="E27" i="45"/>
  <c r="D27" i="45"/>
  <c r="E24" i="45"/>
  <c r="D24" i="45"/>
  <c r="E23" i="45"/>
  <c r="D23" i="45"/>
  <c r="E22" i="45"/>
  <c r="D22" i="45"/>
  <c r="E21" i="45"/>
  <c r="D21" i="45"/>
  <c r="E20" i="45"/>
  <c r="D20" i="45"/>
  <c r="E19" i="45"/>
  <c r="D19" i="45"/>
  <c r="E16" i="45"/>
  <c r="D16" i="45"/>
  <c r="E15" i="45"/>
  <c r="D15" i="45"/>
  <c r="E14" i="45"/>
  <c r="D14" i="45"/>
  <c r="E13" i="45"/>
  <c r="D13" i="45"/>
  <c r="E12" i="45"/>
  <c r="D12" i="45"/>
  <c r="E11" i="45"/>
  <c r="D11" i="45"/>
  <c r="I11" i="45"/>
  <c r="I19" i="45" s="1"/>
  <c r="I27" i="45" s="1"/>
  <c r="I35" i="45" s="1"/>
  <c r="I43" i="45" s="1"/>
  <c r="U3" i="45" s="1"/>
  <c r="U11" i="45" s="1"/>
  <c r="U19" i="45" s="1"/>
  <c r="U27" i="45" s="1"/>
  <c r="U35" i="45" s="1"/>
  <c r="U43" i="45" s="1"/>
  <c r="E3" i="45"/>
  <c r="AG4" i="3"/>
  <c r="AG5" i="3"/>
  <c r="AG6" i="3"/>
  <c r="AG7" i="3"/>
  <c r="AG8" i="3"/>
  <c r="AG9" i="3"/>
  <c r="AG12" i="3"/>
  <c r="AG13" i="3"/>
  <c r="AG14" i="3"/>
  <c r="AG15" i="3"/>
  <c r="AG16" i="3"/>
  <c r="AG17" i="3"/>
  <c r="AG20" i="3"/>
  <c r="AG21" i="3"/>
  <c r="AG22" i="3"/>
  <c r="AG23" i="3"/>
  <c r="AG24" i="3"/>
  <c r="AG25" i="3"/>
  <c r="AG28" i="3"/>
  <c r="AG29" i="3"/>
  <c r="AG30" i="3"/>
  <c r="AG31" i="3"/>
  <c r="AG32" i="3"/>
  <c r="AG33" i="3"/>
  <c r="AG36" i="3"/>
  <c r="AG37" i="3"/>
  <c r="AG38" i="3"/>
  <c r="AG39" i="3"/>
  <c r="AG40" i="3"/>
  <c r="AG41" i="3"/>
  <c r="AG44" i="3"/>
  <c r="AG45" i="3"/>
  <c r="AG46" i="3"/>
  <c r="AG47" i="3"/>
  <c r="AG48" i="3"/>
  <c r="AG49" i="3"/>
  <c r="AG52" i="3"/>
  <c r="AG53" i="3"/>
  <c r="AG54" i="3"/>
  <c r="AG55" i="3"/>
  <c r="AG56" i="3"/>
  <c r="AG57" i="3"/>
  <c r="AG60" i="3"/>
  <c r="AG61" i="3"/>
  <c r="AG62" i="3"/>
  <c r="AG63" i="3"/>
  <c r="AG64" i="3"/>
  <c r="AG65" i="3"/>
  <c r="AG68" i="3"/>
  <c r="AG69" i="3"/>
  <c r="AG70" i="3"/>
  <c r="AG71" i="3"/>
  <c r="AG72" i="3"/>
  <c r="AG73" i="3"/>
  <c r="AG76" i="3"/>
  <c r="AG77" i="3"/>
  <c r="AG78" i="3"/>
  <c r="AG79" i="3"/>
  <c r="AG80" i="3"/>
  <c r="AG81" i="3"/>
  <c r="AG84" i="3"/>
  <c r="AG85" i="3"/>
  <c r="AG86" i="3"/>
  <c r="AG87" i="3"/>
  <c r="AG88" i="3"/>
  <c r="AG89" i="3"/>
  <c r="AG92" i="3"/>
  <c r="AG93" i="3"/>
  <c r="AG94" i="3"/>
  <c r="AG95" i="3"/>
  <c r="AG96" i="3"/>
  <c r="AG97" i="3"/>
  <c r="L2" i="40"/>
  <c r="AI14" i="3"/>
  <c r="AI15" i="3"/>
  <c r="AI16" i="3"/>
  <c r="AI17" i="3"/>
  <c r="AI22" i="3"/>
  <c r="AI23" i="3"/>
  <c r="AI24" i="3"/>
  <c r="AI25" i="3"/>
  <c r="AI30" i="3"/>
  <c r="AI31" i="3"/>
  <c r="AI32" i="3"/>
  <c r="AI33" i="3"/>
  <c r="AI38" i="3"/>
  <c r="AI39" i="3"/>
  <c r="AI40" i="3"/>
  <c r="AI41" i="3"/>
  <c r="AI46" i="3"/>
  <c r="AI47" i="3"/>
  <c r="AI48" i="3"/>
  <c r="AI49" i="3"/>
  <c r="AI54" i="3"/>
  <c r="AI55" i="3"/>
  <c r="AI56" i="3"/>
  <c r="AI57" i="3"/>
  <c r="AI62" i="3"/>
  <c r="AI63" i="3"/>
  <c r="AI64" i="3"/>
  <c r="AI65" i="3"/>
  <c r="AI70" i="3"/>
  <c r="AI71" i="3"/>
  <c r="AI72" i="3"/>
  <c r="AI73" i="3"/>
  <c r="AI78" i="3"/>
  <c r="AI79" i="3"/>
  <c r="AI80" i="3"/>
  <c r="AI81" i="3"/>
  <c r="AI86" i="3"/>
  <c r="AI87" i="3"/>
  <c r="AI88" i="3"/>
  <c r="AI89" i="3"/>
  <c r="AI94" i="3"/>
  <c r="AI95" i="3"/>
  <c r="AI96" i="3"/>
  <c r="AI97" i="3"/>
  <c r="BB59" i="3"/>
  <c r="BB60" i="3"/>
  <c r="BB61" i="3"/>
  <c r="BB62" i="3"/>
  <c r="BB63" i="3"/>
  <c r="BB64" i="3"/>
  <c r="BB65" i="3"/>
  <c r="BB66" i="3"/>
  <c r="BB67" i="3"/>
  <c r="BB68" i="3"/>
  <c r="BB69" i="3"/>
  <c r="BM57" i="3"/>
  <c r="BN57" i="3"/>
  <c r="C4" i="3"/>
  <c r="C12" i="3"/>
  <c r="C20" i="3"/>
  <c r="C28" i="3"/>
  <c r="C36" i="3"/>
  <c r="C44" i="3"/>
  <c r="C52" i="3"/>
  <c r="C60" i="3"/>
  <c r="C68" i="3"/>
  <c r="C76" i="3"/>
  <c r="C84" i="3"/>
  <c r="C92" i="3"/>
  <c r="C77" i="31"/>
  <c r="C76" i="31"/>
  <c r="C53" i="31"/>
  <c r="C52" i="31"/>
  <c r="C29" i="31"/>
  <c r="C28" i="31"/>
  <c r="C74" i="31"/>
  <c r="C75" i="31"/>
  <c r="C27" i="31"/>
  <c r="C50" i="31"/>
  <c r="C51" i="31"/>
  <c r="C26" i="31"/>
  <c r="C25" i="31"/>
  <c r="C48" i="31"/>
  <c r="C49" i="31"/>
  <c r="C72" i="31"/>
  <c r="C73" i="31"/>
  <c r="C24" i="31"/>
  <c r="C23" i="31"/>
  <c r="C46" i="31"/>
  <c r="C47" i="31"/>
  <c r="C70" i="31"/>
  <c r="C71" i="31"/>
  <c r="C22" i="31"/>
  <c r="C21" i="31"/>
  <c r="C44" i="31"/>
  <c r="C45" i="31"/>
  <c r="C68" i="31"/>
  <c r="C69" i="31"/>
  <c r="C20" i="31"/>
  <c r="C42" i="31"/>
  <c r="C43" i="31"/>
  <c r="C66" i="31"/>
  <c r="C67" i="31"/>
  <c r="C19" i="31"/>
  <c r="C18" i="31"/>
  <c r="B3" i="36"/>
  <c r="C17" i="31"/>
  <c r="C40" i="31"/>
  <c r="C41" i="31"/>
  <c r="C64" i="31"/>
  <c r="C65" i="31"/>
  <c r="C16" i="31"/>
  <c r="C15" i="31"/>
  <c r="C38" i="31"/>
  <c r="C39" i="31"/>
  <c r="C62" i="31"/>
  <c r="C63" i="31"/>
  <c r="C14" i="31"/>
  <c r="C13" i="31"/>
  <c r="C36" i="31"/>
  <c r="C37" i="31"/>
  <c r="C60" i="31"/>
  <c r="C61" i="31"/>
  <c r="C12" i="31"/>
  <c r="C11" i="31"/>
  <c r="C34" i="31"/>
  <c r="C35" i="31"/>
  <c r="C58" i="31"/>
  <c r="C59" i="31"/>
  <c r="C10" i="31"/>
  <c r="C9" i="31"/>
  <c r="C32" i="31"/>
  <c r="C33" i="31"/>
  <c r="C56" i="31"/>
  <c r="C57" i="31"/>
  <c r="C8" i="31"/>
  <c r="C7" i="31"/>
  <c r="C30" i="31"/>
  <c r="C31" i="31"/>
  <c r="C54" i="31"/>
  <c r="C55" i="31"/>
  <c r="C6" i="31"/>
  <c r="D64" i="36"/>
  <c r="D104" i="36"/>
  <c r="D105" i="36"/>
  <c r="C4" i="31" s="1"/>
  <c r="D140" i="36"/>
  <c r="B80" i="31" s="1"/>
  <c r="D152" i="36"/>
  <c r="B92" i="31" s="1"/>
  <c r="D108" i="36"/>
  <c r="E4" i="31" s="1"/>
  <c r="D136" i="36"/>
  <c r="B239" i="31" s="1"/>
  <c r="D49" i="36"/>
  <c r="AL149" i="3" s="1"/>
  <c r="D120" i="36"/>
  <c r="E253" i="31" s="1"/>
  <c r="D159" i="36"/>
  <c r="B99" i="31" s="1"/>
  <c r="D15" i="36"/>
  <c r="C7" i="30" s="1"/>
  <c r="D129" i="36"/>
  <c r="B181" i="31" s="1"/>
  <c r="D169" i="36"/>
  <c r="B109" i="31" s="1"/>
  <c r="D132" i="36"/>
  <c r="B219" i="31" s="1"/>
  <c r="D21" i="36"/>
  <c r="AC3" i="3" s="1"/>
  <c r="D31" i="36"/>
  <c r="W141" i="3" s="1"/>
  <c r="D106" i="36"/>
  <c r="E1" i="31" s="1"/>
  <c r="D81" i="36"/>
  <c r="B16" i="34" s="1"/>
  <c r="D107" i="36"/>
  <c r="E3" i="31" s="1"/>
  <c r="D186" i="36"/>
  <c r="B126" i="31" s="1"/>
  <c r="D33" i="36"/>
  <c r="AA149" i="3" s="1"/>
  <c r="D19" i="36"/>
  <c r="Z3" i="3" s="1"/>
  <c r="D175" i="36"/>
  <c r="B115" i="31" s="1"/>
  <c r="D183" i="36"/>
  <c r="B123" i="31" s="1"/>
  <c r="D40" i="36"/>
  <c r="W158" i="3" s="1"/>
  <c r="B256" i="31" s="1"/>
  <c r="D17" i="36"/>
  <c r="X3" i="3" s="1"/>
  <c r="D171" i="36"/>
  <c r="B111" i="31" s="1"/>
  <c r="D187" i="36"/>
  <c r="B127" i="31" s="1"/>
  <c r="D39" i="36"/>
  <c r="W156" i="3" s="1"/>
  <c r="B255" i="31" s="1"/>
  <c r="D38" i="36"/>
  <c r="W155" i="3" s="1"/>
  <c r="B254" i="31" s="1"/>
  <c r="D264" i="36"/>
  <c r="D266" i="36"/>
  <c r="D125" i="36"/>
  <c r="B5" i="31" s="1"/>
  <c r="D69" i="36"/>
  <c r="D255" i="36"/>
  <c r="D271" i="36"/>
  <c r="D259" i="36"/>
  <c r="D88" i="36"/>
  <c r="L12" i="34" s="1"/>
  <c r="D89" i="36"/>
  <c r="L13" i="34" s="1"/>
  <c r="D91" i="36"/>
  <c r="L15" i="34" s="1"/>
  <c r="D10" i="36"/>
  <c r="D52" i="36"/>
  <c r="AL5" i="3" s="1"/>
  <c r="D30" i="36"/>
  <c r="W136" i="3" s="1"/>
  <c r="D155" i="36" l="1"/>
  <c r="B95" i="31" s="1"/>
  <c r="D22" i="36"/>
  <c r="AF3" i="3" s="1"/>
  <c r="D95" i="36"/>
  <c r="L21" i="34" s="1"/>
  <c r="D269" i="36"/>
  <c r="D37" i="36"/>
  <c r="W154" i="3" s="1"/>
  <c r="B253" i="31" s="1"/>
  <c r="D51" i="36"/>
  <c r="AJ5" i="3" s="1"/>
  <c r="D138" i="36"/>
  <c r="B246" i="31" s="1"/>
  <c r="D126" i="36"/>
  <c r="B79" i="31" s="1"/>
  <c r="D60" i="36"/>
  <c r="AT5" i="3" s="1"/>
  <c r="AT45" i="3" s="1"/>
  <c r="D70" i="36"/>
  <c r="D263" i="36"/>
  <c r="D24" i="36"/>
  <c r="AV3" i="3" s="1"/>
  <c r="D193" i="36"/>
  <c r="B240" i="31" s="1"/>
  <c r="B241" i="31" s="1"/>
  <c r="D190" i="36"/>
  <c r="B210" i="31" s="1"/>
  <c r="B211" i="31" s="1"/>
  <c r="B212" i="31" s="1"/>
  <c r="B213" i="31" s="1"/>
  <c r="B214" i="31" s="1"/>
  <c r="B215" i="31" s="1"/>
  <c r="B216" i="31" s="1"/>
  <c r="B217" i="31" s="1"/>
  <c r="D160" i="36"/>
  <c r="B100" i="31" s="1"/>
  <c r="D11" i="36"/>
  <c r="D256" i="36"/>
  <c r="D85" i="36"/>
  <c r="L5" i="34" s="1"/>
  <c r="D35" i="36"/>
  <c r="W151" i="3" s="1"/>
  <c r="B251" i="31" s="1"/>
  <c r="D66" i="36"/>
  <c r="D164" i="36"/>
  <c r="B104" i="31" s="1"/>
  <c r="D47" i="36"/>
  <c r="AL148" i="3" s="1"/>
  <c r="D182" i="36"/>
  <c r="B122" i="31" s="1"/>
  <c r="D142" i="36"/>
  <c r="B82" i="31" s="1"/>
  <c r="D148" i="36"/>
  <c r="B88" i="31" s="1"/>
  <c r="D143" i="36"/>
  <c r="B83" i="31" s="1"/>
  <c r="D145" i="36"/>
  <c r="B85" i="31" s="1"/>
  <c r="D4" i="36"/>
  <c r="K6" i="30" s="1"/>
  <c r="D192" i="36"/>
  <c r="B237" i="31" s="1"/>
  <c r="D56" i="36"/>
  <c r="AP5" i="3" s="1"/>
  <c r="AP53" i="3" s="1"/>
  <c r="D94" i="36"/>
  <c r="L20" i="34" s="1"/>
  <c r="D8" i="36"/>
  <c r="B3" i="30" s="1"/>
  <c r="D262" i="36"/>
  <c r="D127" i="36"/>
  <c r="B129" i="31" s="1"/>
  <c r="D184" i="36"/>
  <c r="B124" i="31" s="1"/>
  <c r="D41" i="36"/>
  <c r="W159" i="3" s="1"/>
  <c r="B257" i="31" s="1"/>
  <c r="D181" i="36"/>
  <c r="B121" i="31" s="1"/>
  <c r="D48" i="36"/>
  <c r="AM148" i="3" s="1"/>
  <c r="D111" i="36"/>
  <c r="E30" i="31" s="1"/>
  <c r="D119" i="36"/>
  <c r="E244" i="31" s="1"/>
  <c r="D25" i="36"/>
  <c r="D261" i="36"/>
  <c r="D93" i="36"/>
  <c r="D9" i="36"/>
  <c r="E17" i="30" s="1"/>
  <c r="D46" i="36"/>
  <c r="C9" i="30" s="1"/>
  <c r="D172" i="36"/>
  <c r="B112" i="31" s="1"/>
  <c r="D168" i="36"/>
  <c r="B108" i="31" s="1"/>
  <c r="D189" i="36"/>
  <c r="B182" i="31" s="1"/>
  <c r="B183" i="31" s="1"/>
  <c r="B184" i="31" s="1"/>
  <c r="B185" i="31" s="1"/>
  <c r="B186" i="31" s="1"/>
  <c r="B187" i="31" s="1"/>
  <c r="B188" i="31" s="1"/>
  <c r="B189" i="31" s="1"/>
  <c r="B190" i="31" s="1"/>
  <c r="B191" i="31" s="1"/>
  <c r="B192" i="31" s="1"/>
  <c r="B193" i="31" s="1"/>
  <c r="B194" i="31" s="1"/>
  <c r="B195" i="31" s="1"/>
  <c r="B196" i="31" s="1"/>
  <c r="B197" i="31" s="1"/>
  <c r="D146" i="36"/>
  <c r="B86" i="31" s="1"/>
  <c r="D5" i="36"/>
  <c r="D113" i="36"/>
  <c r="E162" i="31" s="1"/>
  <c r="D102" i="36"/>
  <c r="C1" i="31" s="1"/>
  <c r="D154" i="36"/>
  <c r="B94" i="31" s="1"/>
  <c r="E16" i="30"/>
  <c r="D34" i="36"/>
  <c r="W150" i="3" s="1"/>
  <c r="B250" i="31" s="1"/>
  <c r="D54" i="36"/>
  <c r="AN5" i="3" s="1"/>
  <c r="AN21" i="3" s="1"/>
  <c r="D84" i="36"/>
  <c r="L4" i="34" s="1"/>
  <c r="D87" i="36"/>
  <c r="L11" i="34" s="1"/>
  <c r="D260" i="36"/>
  <c r="D27" i="36"/>
  <c r="W99" i="3" s="1"/>
  <c r="D43" i="36"/>
  <c r="AA155" i="3" s="1"/>
  <c r="C254" i="31" s="1"/>
  <c r="D265" i="36"/>
  <c r="D18" i="36"/>
  <c r="Y3" i="3" s="1"/>
  <c r="Y119" i="3" s="1"/>
  <c r="D252" i="36"/>
  <c r="L2" i="32" s="1"/>
  <c r="D162" i="36"/>
  <c r="B102" i="31" s="1"/>
  <c r="D167" i="36"/>
  <c r="B107" i="31" s="1"/>
  <c r="D174" i="36"/>
  <c r="B114" i="31" s="1"/>
  <c r="D42" i="36"/>
  <c r="W160" i="3" s="1"/>
  <c r="B258" i="31" s="1"/>
  <c r="D153" i="36"/>
  <c r="B93" i="31" s="1"/>
  <c r="D135" i="36"/>
  <c r="B235" i="31" s="1"/>
  <c r="D156" i="36"/>
  <c r="B96" i="31" s="1"/>
  <c r="D147" i="36"/>
  <c r="B87" i="31" s="1"/>
  <c r="D112" i="36"/>
  <c r="E54" i="31" s="1"/>
  <c r="D103" i="36"/>
  <c r="D151" i="36"/>
  <c r="B91" i="31" s="1"/>
  <c r="D134" i="36"/>
  <c r="B231" i="31" s="1"/>
  <c r="D128" i="36"/>
  <c r="B163" i="31" s="1"/>
  <c r="D65" i="36"/>
  <c r="D7" i="36"/>
  <c r="C5" i="30" s="1"/>
  <c r="D92" i="36"/>
  <c r="D6" i="36"/>
  <c r="D29" i="36"/>
  <c r="W129" i="3" s="1"/>
  <c r="D36" i="36"/>
  <c r="W152" i="3" s="1"/>
  <c r="B252" i="31" s="1"/>
  <c r="D267" i="36"/>
  <c r="D67" i="36"/>
  <c r="AZ93" i="3" s="1"/>
  <c r="D61" i="36"/>
  <c r="Z4" i="3" s="1"/>
  <c r="Z37" i="3" s="1"/>
  <c r="D117" i="36"/>
  <c r="E220" i="31" s="1"/>
  <c r="D16" i="36"/>
  <c r="D188" i="36"/>
  <c r="D166" i="36"/>
  <c r="B106" i="31" s="1"/>
  <c r="D185" i="36"/>
  <c r="B125" i="31" s="1"/>
  <c r="D161" i="36"/>
  <c r="B101" i="31" s="1"/>
  <c r="D177" i="36"/>
  <c r="B117" i="31" s="1"/>
  <c r="D139" i="36"/>
  <c r="B249" i="31" s="1"/>
  <c r="D158" i="36"/>
  <c r="B98" i="31" s="1"/>
  <c r="D149" i="36"/>
  <c r="B89" i="31" s="1"/>
  <c r="D150" i="36"/>
  <c r="B90" i="31" s="1"/>
  <c r="D163" i="36"/>
  <c r="B103" i="31" s="1"/>
  <c r="D116" i="36"/>
  <c r="E200" i="31" s="1"/>
  <c r="D114" i="36"/>
  <c r="E163" i="31" s="1"/>
  <c r="D68" i="36"/>
  <c r="D83" i="36"/>
  <c r="C19" i="34" s="1"/>
  <c r="AD3" i="3"/>
  <c r="AD43" i="3" s="1"/>
  <c r="D90" i="36"/>
  <c r="L14" i="34" s="1"/>
  <c r="D71" i="36"/>
  <c r="D28" i="36"/>
  <c r="W118" i="3" s="1"/>
  <c r="D55" i="36"/>
  <c r="AO5" i="3" s="1"/>
  <c r="D268" i="36"/>
  <c r="D191" i="36"/>
  <c r="B228" i="31" s="1"/>
  <c r="D133" i="36"/>
  <c r="B225" i="31" s="1"/>
  <c r="D131" i="36"/>
  <c r="B209" i="31" s="1"/>
  <c r="D44" i="36"/>
  <c r="D23" i="36"/>
  <c r="D63" i="36"/>
  <c r="Z8" i="3" s="1"/>
  <c r="Z65" i="3" s="1"/>
  <c r="D141" i="36"/>
  <c r="B81" i="31" s="1"/>
  <c r="D115" i="36"/>
  <c r="E164" i="31" s="1"/>
  <c r="D173" i="36"/>
  <c r="B113" i="31" s="1"/>
  <c r="D122" i="36"/>
  <c r="D6" i="31" s="1"/>
  <c r="D123" i="36"/>
  <c r="D30" i="31" s="1"/>
  <c r="D80" i="36"/>
  <c r="B15" i="34" s="1"/>
  <c r="D79" i="36"/>
  <c r="B3" i="34" s="1"/>
  <c r="D118" i="36"/>
  <c r="E232" i="31" s="1"/>
  <c r="D82" i="36"/>
  <c r="B2" i="34" s="1"/>
  <c r="D26" i="36"/>
  <c r="AJ100" i="3" s="1"/>
  <c r="D45" i="36"/>
  <c r="C10" i="30" s="1"/>
  <c r="C5" i="31" s="1"/>
  <c r="D121" i="36"/>
  <c r="D86" i="36"/>
  <c r="L6" i="34" s="1"/>
  <c r="D96" i="36"/>
  <c r="L27" i="34" s="1"/>
  <c r="D59" i="36"/>
  <c r="AS5" i="3" s="1"/>
  <c r="AS29" i="3" s="1"/>
  <c r="D53" i="36"/>
  <c r="AM5" i="3" s="1"/>
  <c r="AM29" i="3" s="1"/>
  <c r="B236" i="31"/>
  <c r="D270" i="36"/>
  <c r="D180" i="36"/>
  <c r="B120" i="31" s="1"/>
  <c r="D179" i="36"/>
  <c r="B119" i="31" s="1"/>
  <c r="D176" i="36"/>
  <c r="B116" i="31" s="1"/>
  <c r="D130" i="36"/>
  <c r="B199" i="31" s="1"/>
  <c r="D137" i="36"/>
  <c r="B243" i="31" s="1"/>
  <c r="D165" i="36"/>
  <c r="B105" i="31" s="1"/>
  <c r="D32" i="36"/>
  <c r="W145" i="3" s="1"/>
  <c r="D178" i="36"/>
  <c r="B118" i="31" s="1"/>
  <c r="D62" i="36"/>
  <c r="Z6" i="3" s="1"/>
  <c r="Z55" i="3" s="1"/>
  <c r="D170" i="36"/>
  <c r="B110" i="31" s="1"/>
  <c r="D50" i="36"/>
  <c r="AM149" i="3" s="1"/>
  <c r="D110" i="36"/>
  <c r="E6" i="31" s="1"/>
  <c r="D109" i="36"/>
  <c r="E5" i="31" s="1"/>
  <c r="D144" i="36"/>
  <c r="B84" i="31" s="1"/>
  <c r="D157" i="36"/>
  <c r="B97" i="31" s="1"/>
  <c r="D12" i="36"/>
  <c r="AO162" i="3" s="1"/>
  <c r="D76" i="36"/>
  <c r="AL115" i="3" s="1"/>
  <c r="D75" i="36"/>
  <c r="D74" i="36"/>
  <c r="D73" i="36"/>
  <c r="BD5" i="3"/>
  <c r="W1" i="3"/>
  <c r="Z64" i="3"/>
  <c r="Z81" i="3"/>
  <c r="Z96" i="3"/>
  <c r="Z73" i="3"/>
  <c r="Z80" i="3"/>
  <c r="Z56" i="3"/>
  <c r="Z33" i="3"/>
  <c r="AJ29" i="3"/>
  <c r="AJ21" i="3"/>
  <c r="AJ45" i="3"/>
  <c r="AA154" i="3"/>
  <c r="C253" i="31" s="1"/>
  <c r="D72" i="36"/>
  <c r="AY3" i="3" s="1"/>
  <c r="D273" i="36"/>
  <c r="EU6144" i="34"/>
  <c r="G227" i="36" s="1"/>
  <c r="D227" i="36" s="1"/>
  <c r="K27" i="6" s="1"/>
  <c r="AC19" i="3"/>
  <c r="AC83" i="3"/>
  <c r="AC91" i="3"/>
  <c r="AC75" i="3"/>
  <c r="AC35" i="3"/>
  <c r="AC142" i="3"/>
  <c r="AC130" i="3"/>
  <c r="AC27" i="3"/>
  <c r="AC119" i="3"/>
  <c r="AC67" i="3"/>
  <c r="AC59" i="3"/>
  <c r="Y100" i="3"/>
  <c r="Y142" i="3"/>
  <c r="AO61" i="3"/>
  <c r="AO29" i="3"/>
  <c r="AO13" i="3"/>
  <c r="Z52" i="3"/>
  <c r="Z20" i="3"/>
  <c r="Z44" i="3"/>
  <c r="AA162" i="3"/>
  <c r="D258" i="36"/>
  <c r="AT53" i="3"/>
  <c r="B34" i="34"/>
  <c r="Z9" i="3"/>
  <c r="AT85" i="3"/>
  <c r="AL1" i="3"/>
  <c r="D20" i="36"/>
  <c r="AA3" i="3" s="1"/>
  <c r="AA137" i="3" s="1"/>
  <c r="D57" i="36"/>
  <c r="AQ5" i="3" s="1"/>
  <c r="AQ53" i="3" s="1"/>
  <c r="D207" i="36"/>
  <c r="AB8" i="32" s="1"/>
  <c r="D247" i="36"/>
  <c r="B24" i="6" s="1"/>
  <c r="D243" i="36"/>
  <c r="K43" i="6" s="1"/>
  <c r="D249" i="36"/>
  <c r="K49" i="6" s="1"/>
  <c r="D245" i="36"/>
  <c r="B36" i="6" s="1"/>
  <c r="D241" i="36"/>
  <c r="K41" i="6" s="1"/>
  <c r="D237" i="36"/>
  <c r="K37" i="6" s="1"/>
  <c r="D233" i="36"/>
  <c r="B29" i="6" s="1"/>
  <c r="D229" i="36"/>
  <c r="K29" i="6" s="1"/>
  <c r="D239" i="36"/>
  <c r="AB40" i="32" s="1"/>
  <c r="AF142" i="3"/>
  <c r="AF51" i="3"/>
  <c r="AF11" i="3"/>
  <c r="AF27" i="3" s="1"/>
  <c r="AF43" i="3" s="1"/>
  <c r="AF119" i="3"/>
  <c r="AF59" i="3"/>
  <c r="AF83" i="3"/>
  <c r="AF67" i="3"/>
  <c r="AF91" i="3"/>
  <c r="AF75" i="3"/>
  <c r="AL29" i="3"/>
  <c r="AY29" i="3" s="1"/>
  <c r="AL77" i="3"/>
  <c r="AY77" i="3" s="1"/>
  <c r="AL69" i="3"/>
  <c r="AY69" i="3" s="1"/>
  <c r="AY5" i="3"/>
  <c r="X67" i="3"/>
  <c r="X130" i="3"/>
  <c r="X59" i="3"/>
  <c r="BL5" i="3"/>
  <c r="BL57" i="3" s="1"/>
  <c r="Z77" i="3"/>
  <c r="D257" i="36"/>
  <c r="D58" i="36"/>
  <c r="AR5" i="3" s="1"/>
  <c r="K3" i="45" s="1"/>
  <c r="K11" i="45" s="1"/>
  <c r="K19" i="45" s="1"/>
  <c r="K27" i="45" s="1"/>
  <c r="K35" i="45" s="1"/>
  <c r="K43" i="45" s="1"/>
  <c r="W3" i="45" s="1"/>
  <c r="W11" i="45" s="1"/>
  <c r="W19" i="45" s="1"/>
  <c r="W27" i="45" s="1"/>
  <c r="W35" i="45" s="1"/>
  <c r="W43" i="45" s="1"/>
  <c r="D224" i="36"/>
  <c r="AB25" i="32" s="1"/>
  <c r="D220" i="36"/>
  <c r="B13" i="6" s="1"/>
  <c r="A24" i="3" s="1"/>
  <c r="D216" i="36"/>
  <c r="AB17" i="32" s="1"/>
  <c r="D212" i="36"/>
  <c r="K12" i="6" s="1"/>
  <c r="D208" i="36"/>
  <c r="AB9" i="32" s="1"/>
  <c r="D204" i="36"/>
  <c r="B39" i="6" s="1"/>
  <c r="A78" i="3" s="1"/>
  <c r="AY79" i="3" s="1"/>
  <c r="AN29" i="3"/>
  <c r="AS45" i="3"/>
  <c r="AM21" i="3"/>
  <c r="Z85" i="3"/>
  <c r="D248" i="36"/>
  <c r="AB49" i="32" s="1"/>
  <c r="D244" i="36"/>
  <c r="B43" i="6" s="1"/>
  <c r="D240" i="36"/>
  <c r="B9" i="6" s="1"/>
  <c r="A16" i="3" s="1"/>
  <c r="AA16" i="3" s="1"/>
  <c r="D236" i="36"/>
  <c r="AB37" i="32" s="1"/>
  <c r="D232" i="36"/>
  <c r="B37" i="6" s="1"/>
  <c r="A72" i="3" s="1"/>
  <c r="AA72" i="3" s="1"/>
  <c r="D228" i="36"/>
  <c r="B23" i="6" s="1"/>
  <c r="A46" i="3" s="1"/>
  <c r="D223" i="36"/>
  <c r="B34" i="6" s="1"/>
  <c r="A69" i="3" s="1"/>
  <c r="AA68" i="3" s="1"/>
  <c r="D219" i="36"/>
  <c r="K19" i="6" s="1"/>
  <c r="D215" i="36"/>
  <c r="K15" i="6" s="1"/>
  <c r="D211" i="36"/>
  <c r="K11" i="6" s="1"/>
  <c r="D203" i="36"/>
  <c r="B32" i="6" s="1"/>
  <c r="AM93" i="3"/>
  <c r="D235" i="36"/>
  <c r="K35" i="6" s="1"/>
  <c r="D231" i="36"/>
  <c r="K31" i="6" s="1"/>
  <c r="AX18" i="45"/>
  <c r="AS53" i="3"/>
  <c r="Z12" i="3"/>
  <c r="Z45" i="3"/>
  <c r="Z97" i="3"/>
  <c r="D226" i="36"/>
  <c r="K26" i="6" s="1"/>
  <c r="D222" i="36"/>
  <c r="B14" i="6" s="1"/>
  <c r="D218" i="36"/>
  <c r="B21" i="6" s="1"/>
  <c r="A40" i="3" s="1"/>
  <c r="D214" i="36"/>
  <c r="K14" i="6" s="1"/>
  <c r="D210" i="36"/>
  <c r="B31" i="6" s="1"/>
  <c r="BD35" i="3" s="1"/>
  <c r="D206" i="36"/>
  <c r="B16" i="6" s="1"/>
  <c r="D202" i="36"/>
  <c r="AB3" i="32" s="1"/>
  <c r="D246" i="36"/>
  <c r="B7" i="6" s="1"/>
  <c r="D242" i="36"/>
  <c r="B33" i="6" s="1"/>
  <c r="D238" i="36"/>
  <c r="AB39" i="32" s="1"/>
  <c r="D234" i="36"/>
  <c r="K34" i="6" s="1"/>
  <c r="D230" i="36"/>
  <c r="B11" i="6" s="1"/>
  <c r="D225" i="36"/>
  <c r="B12" i="6" s="1"/>
  <c r="D221" i="36"/>
  <c r="B30" i="6" s="1"/>
  <c r="D217" i="36"/>
  <c r="B19" i="6" s="1"/>
  <c r="D213" i="36"/>
  <c r="B45" i="6" s="1"/>
  <c r="D209" i="36"/>
  <c r="B10" i="6" s="1"/>
  <c r="BD14" i="3" s="1"/>
  <c r="D205" i="36"/>
  <c r="K5" i="6" s="1"/>
  <c r="AL101" i="3"/>
  <c r="AN85" i="3"/>
  <c r="AT93" i="3"/>
  <c r="X51" i="3"/>
  <c r="AL61" i="3"/>
  <c r="AY61" i="3" s="1"/>
  <c r="AN53" i="3"/>
  <c r="AP21" i="3"/>
  <c r="AD51" i="3"/>
  <c r="X91" i="3"/>
  <c r="BE5" i="3"/>
  <c r="BE57" i="3" s="1"/>
  <c r="BK5" i="3"/>
  <c r="BK57" i="3" s="1"/>
  <c r="Z76" i="3"/>
  <c r="Z53" i="3"/>
  <c r="Z16" i="3"/>
  <c r="AM37" i="3"/>
  <c r="AT77" i="3"/>
  <c r="AF137" i="3"/>
  <c r="AF19" i="3"/>
  <c r="AF35" i="3" s="1"/>
  <c r="Z23" i="3"/>
  <c r="Z71" i="3"/>
  <c r="Z47" i="3"/>
  <c r="Z75" i="3"/>
  <c r="Z51" i="3"/>
  <c r="Z67" i="3"/>
  <c r="AT37" i="3"/>
  <c r="Y11" i="3"/>
  <c r="Y27" i="3" s="1"/>
  <c r="Y43" i="3" s="1"/>
  <c r="Z91" i="3"/>
  <c r="X146" i="3"/>
  <c r="Y130" i="3"/>
  <c r="AT29" i="3"/>
  <c r="X75" i="3"/>
  <c r="AN101" i="3"/>
  <c r="AN61" i="3"/>
  <c r="AN77" i="3"/>
  <c r="AN37" i="3"/>
  <c r="Y137" i="3"/>
  <c r="AN69" i="3"/>
  <c r="Y83" i="3"/>
  <c r="Z11" i="3"/>
  <c r="Z27" i="3" s="1"/>
  <c r="Z43" i="3" s="1"/>
  <c r="X119" i="3"/>
  <c r="AD119" i="3"/>
  <c r="AD75" i="3"/>
  <c r="AD83" i="3"/>
  <c r="AD142" i="3"/>
  <c r="AD67" i="3"/>
  <c r="AC100" i="3"/>
  <c r="AC43" i="3"/>
  <c r="AC51" i="3"/>
  <c r="AC11" i="3"/>
  <c r="Z19" i="3"/>
  <c r="Z35" i="3" s="1"/>
  <c r="J3" i="45"/>
  <c r="J11" i="45" s="1"/>
  <c r="J19" i="45" s="1"/>
  <c r="J27" i="45" s="1"/>
  <c r="J35" i="45" s="1"/>
  <c r="J43" i="45" s="1"/>
  <c r="V3" i="45" s="1"/>
  <c r="V11" i="45" s="1"/>
  <c r="V19" i="45" s="1"/>
  <c r="V27" i="45" s="1"/>
  <c r="V35" i="45" s="1"/>
  <c r="V43" i="45" s="1"/>
  <c r="AT13" i="3"/>
  <c r="AT61" i="3"/>
  <c r="AT101" i="3"/>
  <c r="AT69" i="3"/>
  <c r="AT21" i="3"/>
  <c r="Y146" i="3"/>
  <c r="Y91" i="3"/>
  <c r="Y75" i="3"/>
  <c r="Y67" i="3"/>
  <c r="Y51" i="3"/>
  <c r="Y59" i="3"/>
  <c r="Y19" i="3"/>
  <c r="Y35" i="3" s="1"/>
  <c r="X142" i="3"/>
  <c r="X11" i="3"/>
  <c r="X27" i="3" s="1"/>
  <c r="X43" i="3" s="1"/>
  <c r="X100" i="3"/>
  <c r="X137" i="3"/>
  <c r="X83" i="3"/>
  <c r="X19" i="3"/>
  <c r="X35" i="3" s="1"/>
  <c r="AS93" i="3"/>
  <c r="AS101" i="3"/>
  <c r="AO101" i="3"/>
  <c r="AO85" i="3"/>
  <c r="AJ101" i="3"/>
  <c r="AJ69" i="3"/>
  <c r="AL85" i="3"/>
  <c r="AY85" i="3" s="1"/>
  <c r="Z57" i="3"/>
  <c r="AL37" i="3"/>
  <c r="AY37" i="3" s="1"/>
  <c r="AL45" i="3"/>
  <c r="AY45" i="3" s="1"/>
  <c r="AL93" i="3"/>
  <c r="AY93" i="3" s="1"/>
  <c r="H3" i="45"/>
  <c r="H11" i="45" s="1"/>
  <c r="H19" i="45" s="1"/>
  <c r="H27" i="45" s="1"/>
  <c r="H35" i="45" s="1"/>
  <c r="H43" i="45" s="1"/>
  <c r="T3" i="45" s="1"/>
  <c r="T11" i="45" s="1"/>
  <c r="T19" i="45" s="1"/>
  <c r="T27" i="45" s="1"/>
  <c r="T35" i="45" s="1"/>
  <c r="T43" i="45" s="1"/>
  <c r="AF146" i="3"/>
  <c r="AP13" i="3"/>
  <c r="AP61" i="3"/>
  <c r="AP101" i="3"/>
  <c r="AO77" i="3"/>
  <c r="Z59" i="3"/>
  <c r="AJ93" i="3"/>
  <c r="AJ61" i="3"/>
  <c r="AP45" i="3"/>
  <c r="AO45" i="3"/>
  <c r="AO37" i="3"/>
  <c r="BG5" i="3"/>
  <c r="BG57" i="3" s="1"/>
  <c r="Z83" i="3"/>
  <c r="Z63" i="3"/>
  <c r="AJ13" i="3"/>
  <c r="AJ85" i="3"/>
  <c r="AL13" i="3"/>
  <c r="AY13" i="3" s="1"/>
  <c r="AL21" i="3"/>
  <c r="AY21" i="3" s="1"/>
  <c r="AL53" i="3"/>
  <c r="AY53" i="3" s="1"/>
  <c r="AP69" i="3"/>
  <c r="AP77" i="3"/>
  <c r="BH5" i="3"/>
  <c r="BH57" i="3" s="1"/>
  <c r="AO93" i="3"/>
  <c r="Z14" i="3"/>
  <c r="AJ77" i="3"/>
  <c r="AJ53" i="3"/>
  <c r="AP85" i="3"/>
  <c r="AP93" i="3"/>
  <c r="AP29" i="3"/>
  <c r="AP37" i="3"/>
  <c r="AO69" i="3"/>
  <c r="AO21" i="3"/>
  <c r="AO53" i="3"/>
  <c r="AF100" i="3"/>
  <c r="AF130" i="3"/>
  <c r="AJ37" i="3"/>
  <c r="Z70" i="3" l="1"/>
  <c r="Z7" i="3"/>
  <c r="Z94" i="3"/>
  <c r="AA159" i="3"/>
  <c r="C257" i="31" s="1"/>
  <c r="Z62" i="3"/>
  <c r="Z87" i="3"/>
  <c r="Z22" i="3"/>
  <c r="AZ13" i="3"/>
  <c r="B3" i="31"/>
  <c r="Z79" i="3"/>
  <c r="AD19" i="3"/>
  <c r="Z84" i="3"/>
  <c r="Z31" i="3"/>
  <c r="Z61" i="3"/>
  <c r="AN45" i="3"/>
  <c r="AZ69" i="3"/>
  <c r="Z28" i="3"/>
  <c r="AN13" i="3"/>
  <c r="Z93" i="3"/>
  <c r="BF5" i="3"/>
  <c r="BF57" i="3" s="1"/>
  <c r="B227" i="31"/>
  <c r="Z46" i="3"/>
  <c r="Z15" i="3"/>
  <c r="Z30" i="3"/>
  <c r="AN93" i="3"/>
  <c r="Z36" i="3"/>
  <c r="Z41" i="3"/>
  <c r="Z92" i="3"/>
  <c r="AA160" i="3"/>
  <c r="C258" i="31" s="1"/>
  <c r="Z17" i="3"/>
  <c r="Z78" i="3"/>
  <c r="Z39" i="3"/>
  <c r="AD11" i="3"/>
  <c r="Z54" i="3"/>
  <c r="Z95" i="3"/>
  <c r="AM69" i="3"/>
  <c r="Z49" i="3"/>
  <c r="AS13" i="3"/>
  <c r="AS77" i="3"/>
  <c r="AM45" i="3"/>
  <c r="AD130" i="3"/>
  <c r="AM77" i="3"/>
  <c r="AM85" i="3"/>
  <c r="Z72" i="3"/>
  <c r="AZ29" i="3"/>
  <c r="AS21" i="3"/>
  <c r="AS85" i="3"/>
  <c r="AM13" i="3"/>
  <c r="AZ21" i="3"/>
  <c r="AS37" i="3"/>
  <c r="AD59" i="3"/>
  <c r="AD35" i="3"/>
  <c r="AZ5" i="3"/>
  <c r="AS69" i="3"/>
  <c r="AS61" i="3"/>
  <c r="AD27" i="3"/>
  <c r="AD91" i="3"/>
  <c r="AD100" i="3"/>
  <c r="Z89" i="3"/>
  <c r="Z40" i="3"/>
  <c r="AM101" i="3"/>
  <c r="L23" i="30"/>
  <c r="Z24" i="3"/>
  <c r="Z38" i="3"/>
  <c r="AZ61" i="3"/>
  <c r="Z68" i="3"/>
  <c r="Z13" i="3"/>
  <c r="AZ53" i="3"/>
  <c r="AH154" i="3"/>
  <c r="Z60" i="3"/>
  <c r="Z21" i="3"/>
  <c r="AA156" i="3"/>
  <c r="AZ45" i="3"/>
  <c r="Z29" i="3"/>
  <c r="Z5" i="3"/>
  <c r="AA158" i="3"/>
  <c r="C256" i="31" s="1"/>
  <c r="AZ37" i="3"/>
  <c r="Z69" i="3"/>
  <c r="AZ77" i="3"/>
  <c r="AZ85" i="3"/>
  <c r="AM61" i="3"/>
  <c r="AM53" i="3"/>
  <c r="Z32" i="3"/>
  <c r="Z88" i="3"/>
  <c r="Z48" i="3"/>
  <c r="B229" i="31"/>
  <c r="B226" i="31"/>
  <c r="Z86" i="3"/>
  <c r="Z25" i="3"/>
  <c r="AJ3" i="3"/>
  <c r="BC5" i="3"/>
  <c r="BC57" i="3" s="1"/>
  <c r="B130" i="31"/>
  <c r="B131" i="31" s="1"/>
  <c r="B132" i="31" s="1"/>
  <c r="B133" i="31" s="1"/>
  <c r="B134" i="31" s="1"/>
  <c r="B135" i="31" s="1"/>
  <c r="B136" i="31" s="1"/>
  <c r="B137" i="31" s="1"/>
  <c r="B138" i="31" s="1"/>
  <c r="B139" i="31" s="1"/>
  <c r="B140" i="31" s="1"/>
  <c r="B141" i="31" s="1"/>
  <c r="B142" i="31" s="1"/>
  <c r="B143" i="31" s="1"/>
  <c r="B144" i="31" s="1"/>
  <c r="B145" i="31" s="1"/>
  <c r="B146" i="31"/>
  <c r="B147" i="31" s="1"/>
  <c r="B148" i="31" s="1"/>
  <c r="B149" i="31" s="1"/>
  <c r="B150" i="31" s="1"/>
  <c r="B151" i="31" s="1"/>
  <c r="B152" i="31" s="1"/>
  <c r="B153" i="31" s="1"/>
  <c r="B154" i="31" s="1"/>
  <c r="B155" i="31" s="1"/>
  <c r="B156" i="31" s="1"/>
  <c r="B157" i="31" s="1"/>
  <c r="B158" i="31" s="1"/>
  <c r="B159" i="31" s="1"/>
  <c r="B160" i="31" s="1"/>
  <c r="B161" i="31" s="1"/>
  <c r="AA75" i="3"/>
  <c r="B42" i="6"/>
  <c r="A85" i="3" s="1"/>
  <c r="B25" i="6"/>
  <c r="A48" i="3" s="1"/>
  <c r="AQ21" i="3"/>
  <c r="AA67" i="3"/>
  <c r="BD57" i="3"/>
  <c r="AA146" i="3"/>
  <c r="AA51" i="3"/>
  <c r="AA91" i="3"/>
  <c r="AA19" i="3"/>
  <c r="AA35" i="3" s="1"/>
  <c r="AB46" i="32"/>
  <c r="B47" i="6"/>
  <c r="BD51" i="3" s="1"/>
  <c r="AB20" i="32"/>
  <c r="AB38" i="32"/>
  <c r="AQ77" i="3"/>
  <c r="AA83" i="3"/>
  <c r="AA142" i="3"/>
  <c r="AQ37" i="3"/>
  <c r="AQ29" i="3"/>
  <c r="M84" i="34"/>
  <c r="K45" i="6"/>
  <c r="AQ45" i="3"/>
  <c r="AA130" i="3"/>
  <c r="K23" i="6"/>
  <c r="AQ69" i="3"/>
  <c r="AA11" i="3"/>
  <c r="AA27" i="3" s="1"/>
  <c r="AA43" i="3" s="1"/>
  <c r="AA100" i="3"/>
  <c r="AQ85" i="3"/>
  <c r="B5" i="6"/>
  <c r="BD9" i="3" s="1"/>
  <c r="AB50" i="32"/>
  <c r="B40" i="6"/>
  <c r="A79" i="3" s="1"/>
  <c r="K7" i="6"/>
  <c r="AA59" i="3"/>
  <c r="AA119" i="3"/>
  <c r="K16" i="6"/>
  <c r="K22" i="6"/>
  <c r="AB42" i="32"/>
  <c r="B17" i="6"/>
  <c r="BD21" i="3" s="1"/>
  <c r="K33" i="6"/>
  <c r="B15" i="6"/>
  <c r="A30" i="3" s="1"/>
  <c r="AB36" i="32"/>
  <c r="AB34" i="32"/>
  <c r="AB30" i="32"/>
  <c r="K36" i="6"/>
  <c r="AB19" i="32"/>
  <c r="K17" i="6"/>
  <c r="AB18" i="32"/>
  <c r="AB48" i="32"/>
  <c r="B41" i="6"/>
  <c r="BD45" i="3" s="1"/>
  <c r="K2" i="6"/>
  <c r="B18" i="6"/>
  <c r="BD22" i="3" s="1"/>
  <c r="K47" i="6"/>
  <c r="B48" i="6"/>
  <c r="BD52" i="3" s="1"/>
  <c r="AB21" i="32"/>
  <c r="AB47" i="32"/>
  <c r="AQ61" i="3"/>
  <c r="AQ13" i="3"/>
  <c r="AQ93" i="3"/>
  <c r="BI5" i="3"/>
  <c r="BI57" i="3" s="1"/>
  <c r="K48" i="6"/>
  <c r="B4" i="6"/>
  <c r="A7" i="3" s="1"/>
  <c r="AY8" i="3" s="1"/>
  <c r="B20" i="6"/>
  <c r="A39" i="3" s="1"/>
  <c r="AB44" i="32"/>
  <c r="AB24" i="32"/>
  <c r="AB31" i="32"/>
  <c r="BD13" i="3"/>
  <c r="BD38" i="3"/>
  <c r="K4" i="6"/>
  <c r="K40" i="6"/>
  <c r="B38" i="6"/>
  <c r="A77" i="3" s="1"/>
  <c r="B44" i="6"/>
  <c r="A87" i="3" s="1"/>
  <c r="B3" i="6"/>
  <c r="BD7" i="3" s="1"/>
  <c r="AB28" i="32"/>
  <c r="AF76" i="3"/>
  <c r="BD43" i="3"/>
  <c r="K39" i="6"/>
  <c r="AB6" i="32"/>
  <c r="B27" i="6"/>
  <c r="A54" i="3" s="1"/>
  <c r="AA14" i="3"/>
  <c r="B35" i="6"/>
  <c r="A70" i="3" s="1"/>
  <c r="AB13" i="32"/>
  <c r="AB7" i="32"/>
  <c r="AA80" i="3"/>
  <c r="B8" i="6"/>
  <c r="A15" i="3" s="1"/>
  <c r="AB11" i="32"/>
  <c r="AB26" i="32"/>
  <c r="AB45" i="32"/>
  <c r="B22" i="6"/>
  <c r="BD26" i="3" s="1"/>
  <c r="AB23" i="32"/>
  <c r="AF13" i="3"/>
  <c r="AB16" i="32"/>
  <c r="B28" i="6"/>
  <c r="BD32" i="3" s="1"/>
  <c r="K25" i="6"/>
  <c r="B6" i="6"/>
  <c r="BD10" i="3" s="1"/>
  <c r="K44" i="6"/>
  <c r="AF79" i="3"/>
  <c r="K18" i="6"/>
  <c r="K8" i="6"/>
  <c r="K10" i="6"/>
  <c r="AB12" i="32"/>
  <c r="AB35" i="32"/>
  <c r="AB5" i="32"/>
  <c r="AB41" i="32"/>
  <c r="AB15" i="32"/>
  <c r="AQ101" i="3"/>
  <c r="K46" i="6"/>
  <c r="B49" i="6"/>
  <c r="BD53" i="3" s="1"/>
  <c r="AB14" i="32"/>
  <c r="K21" i="6"/>
  <c r="AY17" i="3"/>
  <c r="K13" i="6"/>
  <c r="AB22" i="32"/>
  <c r="K6" i="6"/>
  <c r="BD25" i="3"/>
  <c r="K38" i="6"/>
  <c r="AB4" i="32"/>
  <c r="K3" i="6"/>
  <c r="K30" i="6"/>
  <c r="B46" i="6"/>
  <c r="A93" i="3" s="1"/>
  <c r="K32" i="6"/>
  <c r="AB32" i="32"/>
  <c r="AB27" i="32"/>
  <c r="BD27" i="3"/>
  <c r="AB33" i="32"/>
  <c r="K24" i="6"/>
  <c r="AB29" i="32"/>
  <c r="B2" i="6"/>
  <c r="A5" i="3" s="1"/>
  <c r="AY6" i="3" s="1"/>
  <c r="K9" i="6"/>
  <c r="K28" i="6"/>
  <c r="AB10" i="32"/>
  <c r="AB43" i="32"/>
  <c r="K20" i="6"/>
  <c r="K42" i="6"/>
  <c r="B26" i="6"/>
  <c r="BD30" i="3" s="1"/>
  <c r="AR85" i="3"/>
  <c r="AR61" i="3"/>
  <c r="AR21" i="3"/>
  <c r="AR69" i="3"/>
  <c r="AR13" i="3"/>
  <c r="AR29" i="3"/>
  <c r="AR53" i="3"/>
  <c r="AR45" i="3"/>
  <c r="AR101" i="3"/>
  <c r="BJ5" i="3"/>
  <c r="BJ57" i="3" s="1"/>
  <c r="AR37" i="3"/>
  <c r="AR77" i="3"/>
  <c r="AR93" i="3"/>
  <c r="AY70" i="3"/>
  <c r="AA71" i="3"/>
  <c r="BD17" i="3"/>
  <c r="A21" i="3"/>
  <c r="AA20" i="3" s="1"/>
  <c r="AA70" i="3"/>
  <c r="AF72" i="3"/>
  <c r="AF69" i="3"/>
  <c r="AY73" i="3"/>
  <c r="A62" i="3"/>
  <c r="AA64" i="3" s="1"/>
  <c r="BD41" i="3"/>
  <c r="A64" i="3"/>
  <c r="BD37" i="3"/>
  <c r="AA48" i="3"/>
  <c r="AF47" i="3"/>
  <c r="AY47" i="3"/>
  <c r="AF44" i="3"/>
  <c r="BD36" i="3"/>
  <c r="A63" i="3"/>
  <c r="AA41" i="3"/>
  <c r="AY41" i="3"/>
  <c r="AA39" i="3"/>
  <c r="AF37" i="3"/>
  <c r="O19" i="45"/>
  <c r="A22" i="3"/>
  <c r="BD15" i="3"/>
  <c r="C15" i="45"/>
  <c r="A86" i="3"/>
  <c r="BD47" i="3"/>
  <c r="BD18" i="3"/>
  <c r="A29" i="3"/>
  <c r="BD33" i="3"/>
  <c r="A56" i="3"/>
  <c r="BD28" i="3"/>
  <c r="A47" i="3"/>
  <c r="A88" i="3"/>
  <c r="BD49" i="3"/>
  <c r="O23" i="45"/>
  <c r="A31" i="3"/>
  <c r="BD20" i="3"/>
  <c r="BD16" i="3"/>
  <c r="A23" i="3"/>
  <c r="BD40" i="3"/>
  <c r="A71" i="3"/>
  <c r="A38" i="3"/>
  <c r="BD23" i="3"/>
  <c r="A14" i="3"/>
  <c r="BD11" i="3"/>
  <c r="A61" i="3"/>
  <c r="BD34" i="3"/>
  <c r="AY25" i="3"/>
  <c r="AA22" i="3"/>
  <c r="AA24" i="3"/>
  <c r="AF21" i="3"/>
  <c r="AG158" i="3" l="1"/>
  <c r="AG155" i="3"/>
  <c r="AG159" i="3"/>
  <c r="AG160" i="3"/>
  <c r="AG154" i="3"/>
  <c r="C255" i="31"/>
  <c r="AG156" i="3"/>
  <c r="AJ12" i="3"/>
  <c r="AJ20" i="3"/>
  <c r="AJ60" i="3"/>
  <c r="AJ28" i="3"/>
  <c r="AJ44" i="3"/>
  <c r="AJ36" i="3"/>
  <c r="AJ76" i="3"/>
  <c r="AJ52" i="3"/>
  <c r="AJ84" i="3"/>
  <c r="AJ4" i="3"/>
  <c r="AJ68" i="3"/>
  <c r="AJ92" i="3"/>
  <c r="BD29" i="3"/>
  <c r="BD46" i="3"/>
  <c r="BC46" i="3" s="1"/>
  <c r="BD44" i="3"/>
  <c r="BC44" i="3" s="1"/>
  <c r="R30" i="45"/>
  <c r="R27" i="45"/>
  <c r="C13" i="45"/>
  <c r="F12" i="45"/>
  <c r="BD19" i="3"/>
  <c r="BC19" i="3" s="1"/>
  <c r="A94" i="3"/>
  <c r="AY95" i="3" s="1"/>
  <c r="A8" i="3"/>
  <c r="AF5" i="3" s="1"/>
  <c r="A80" i="3"/>
  <c r="AF77" i="3" s="1"/>
  <c r="A32" i="3"/>
  <c r="AA31" i="3" s="1"/>
  <c r="A95" i="3"/>
  <c r="AF97" i="3" s="1"/>
  <c r="A37" i="3"/>
  <c r="AA36" i="3" s="1"/>
  <c r="BD8" i="3"/>
  <c r="BC8" i="3" s="1"/>
  <c r="AF9" i="3"/>
  <c r="AA5" i="3"/>
  <c r="BD24" i="3"/>
  <c r="BC24" i="3" s="1"/>
  <c r="AB80" i="3" a="1"/>
  <c r="AB80" i="3" s="1"/>
  <c r="AE76" i="3" a="1"/>
  <c r="AE76" i="3" s="1"/>
  <c r="BD48" i="3"/>
  <c r="BC48" i="3" s="1"/>
  <c r="BD42" i="3"/>
  <c r="BC42" i="3" s="1"/>
  <c r="AF7" i="3"/>
  <c r="BD31" i="3"/>
  <c r="BC31" i="3" s="1"/>
  <c r="A6" i="3"/>
  <c r="AF4" i="3" s="1"/>
  <c r="BD50" i="3"/>
  <c r="BC50" i="3" s="1"/>
  <c r="A13" i="3"/>
  <c r="AA12" i="3" s="1"/>
  <c r="BC22" i="3"/>
  <c r="BC17" i="3"/>
  <c r="BD6" i="3"/>
  <c r="BC15" i="3"/>
  <c r="O31" i="45"/>
  <c r="A45" i="3"/>
  <c r="AA46" i="3" s="1"/>
  <c r="AF8" i="3"/>
  <c r="BD39" i="3"/>
  <c r="BC39" i="3" s="1"/>
  <c r="AA7" i="3"/>
  <c r="BD12" i="3"/>
  <c r="BC12" i="3" s="1"/>
  <c r="A96" i="3"/>
  <c r="AA95" i="3" s="1"/>
  <c r="A55" i="3"/>
  <c r="AF56" i="3" s="1"/>
  <c r="BC26" i="3"/>
  <c r="BC27" i="3"/>
  <c r="BC18" i="3"/>
  <c r="AE79" i="3" a="1"/>
  <c r="AE79" i="3" s="1"/>
  <c r="AI31" i="32"/>
  <c r="BC10" i="3"/>
  <c r="AI8" i="32"/>
  <c r="AB22" i="3" a="1"/>
  <c r="AB22" i="3" s="1"/>
  <c r="AA4" i="3"/>
  <c r="S52" i="32"/>
  <c r="BC14" i="3"/>
  <c r="BC13" i="3"/>
  <c r="AI4" i="32"/>
  <c r="T83" i="32"/>
  <c r="BC30" i="3"/>
  <c r="BC41" i="3"/>
  <c r="BC36" i="3"/>
  <c r="BC32" i="3"/>
  <c r="BC35" i="3"/>
  <c r="BC38" i="3"/>
  <c r="BC43" i="3"/>
  <c r="BC47" i="3"/>
  <c r="AI21" i="32"/>
  <c r="BC51" i="3"/>
  <c r="BC7" i="3"/>
  <c r="BC37" i="3"/>
  <c r="BC25" i="3"/>
  <c r="R63" i="32"/>
  <c r="S62" i="32"/>
  <c r="S81" i="32"/>
  <c r="T72" i="32"/>
  <c r="R69" i="32"/>
  <c r="T57" i="32"/>
  <c r="AI23" i="32"/>
  <c r="S80" i="32"/>
  <c r="AI18" i="32"/>
  <c r="S75" i="32"/>
  <c r="AI24" i="32"/>
  <c r="S78" i="32"/>
  <c r="S74" i="32"/>
  <c r="AB16" i="3" a="1"/>
  <c r="AB16" i="3" s="1"/>
  <c r="AI49" i="32"/>
  <c r="AI28" i="32"/>
  <c r="R53" i="32"/>
  <c r="AI16" i="32"/>
  <c r="AI6" i="32"/>
  <c r="T58" i="32"/>
  <c r="AI40" i="32"/>
  <c r="S76" i="32"/>
  <c r="T85" i="32"/>
  <c r="R81" i="32"/>
  <c r="T56" i="32"/>
  <c r="S72" i="32"/>
  <c r="AI41" i="32"/>
  <c r="S66" i="32"/>
  <c r="AI33" i="32"/>
  <c r="S69" i="32"/>
  <c r="R52" i="32"/>
  <c r="AI42" i="32"/>
  <c r="R67" i="32"/>
  <c r="AI34" i="32"/>
  <c r="S79" i="32"/>
  <c r="AI32" i="32"/>
  <c r="S67" i="32"/>
  <c r="AI13" i="32"/>
  <c r="S70" i="32"/>
  <c r="AI12" i="32"/>
  <c r="S51" i="32"/>
  <c r="T76" i="32"/>
  <c r="R64" i="32"/>
  <c r="T77" i="32"/>
  <c r="R73" i="32"/>
  <c r="T86" i="32"/>
  <c r="S64" i="32"/>
  <c r="AI37" i="32"/>
  <c r="S83" i="32"/>
  <c r="AI22" i="32"/>
  <c r="AI20" i="32"/>
  <c r="T53" i="32"/>
  <c r="R51" i="32"/>
  <c r="AI43" i="32"/>
  <c r="S73" i="32"/>
  <c r="AI35" i="32"/>
  <c r="S84" i="32"/>
  <c r="AI5" i="32"/>
  <c r="S57" i="32"/>
  <c r="T67" i="32"/>
  <c r="R79" i="32"/>
  <c r="T68" i="32"/>
  <c r="R56" i="32"/>
  <c r="T69" i="32"/>
  <c r="R65" i="32"/>
  <c r="AI45" i="32"/>
  <c r="S58" i="32"/>
  <c r="AI48" i="32"/>
  <c r="R54" i="32"/>
  <c r="AI25" i="32"/>
  <c r="T62" i="32"/>
  <c r="S71" i="32"/>
  <c r="AI39" i="32"/>
  <c r="S59" i="32"/>
  <c r="T63" i="32"/>
  <c r="S55" i="32"/>
  <c r="T81" i="32"/>
  <c r="R74" i="32"/>
  <c r="T59" i="32"/>
  <c r="R71" i="32"/>
  <c r="T60" i="32"/>
  <c r="R83" i="32"/>
  <c r="T78" i="32"/>
  <c r="S56" i="32"/>
  <c r="AI14" i="32"/>
  <c r="AB68" i="3" a="1"/>
  <c r="AB68" i="3" s="1"/>
  <c r="T70" i="32"/>
  <c r="AI38" i="32"/>
  <c r="AI44" i="32"/>
  <c r="R78" i="32"/>
  <c r="AI27" i="32"/>
  <c r="S65" i="32"/>
  <c r="T84" i="32"/>
  <c r="R72" i="32"/>
  <c r="S54" i="32"/>
  <c r="R76" i="32"/>
  <c r="T73" i="32"/>
  <c r="R85" i="32"/>
  <c r="T51" i="32"/>
  <c r="R55" i="32"/>
  <c r="T61" i="32"/>
  <c r="R57" i="32"/>
  <c r="AI7" i="32"/>
  <c r="R59" i="32"/>
  <c r="AI29" i="32"/>
  <c r="R82" i="32"/>
  <c r="AI10" i="32"/>
  <c r="T79" i="32"/>
  <c r="S63" i="32"/>
  <c r="AI15" i="32"/>
  <c r="S85" i="32"/>
  <c r="R68" i="32"/>
  <c r="T65" i="32"/>
  <c r="R77" i="32"/>
  <c r="T52" i="32"/>
  <c r="R75" i="32"/>
  <c r="AI47" i="32"/>
  <c r="AI50" i="32"/>
  <c r="R62" i="32"/>
  <c r="S53" i="32"/>
  <c r="R84" i="32"/>
  <c r="AI46" i="32"/>
  <c r="T64" i="32"/>
  <c r="AI30" i="32"/>
  <c r="AI26" i="32"/>
  <c r="T74" i="32"/>
  <c r="T80" i="32"/>
  <c r="AE21" i="3" a="1"/>
  <c r="AE21" i="3" s="1"/>
  <c r="AI36" i="32"/>
  <c r="S86" i="32"/>
  <c r="R61" i="32"/>
  <c r="R58" i="32"/>
  <c r="T54" i="32"/>
  <c r="T75" i="32"/>
  <c r="R66" i="32"/>
  <c r="S68" i="32"/>
  <c r="AB24" i="3" a="1"/>
  <c r="AB24" i="3" s="1"/>
  <c r="AI17" i="32"/>
  <c r="S61" i="32"/>
  <c r="AI11" i="32"/>
  <c r="T66" i="32"/>
  <c r="R70" i="32"/>
  <c r="T71" i="32"/>
  <c r="R80" i="32"/>
  <c r="T55" i="32"/>
  <c r="AI9" i="32"/>
  <c r="S82" i="32"/>
  <c r="AI19" i="32"/>
  <c r="S60" i="32"/>
  <c r="AI3" i="32"/>
  <c r="S77" i="32"/>
  <c r="R60" i="32"/>
  <c r="T82" i="32"/>
  <c r="R86" i="32"/>
  <c r="AB71" i="3" a="1"/>
  <c r="AB71" i="3" s="1"/>
  <c r="AE13" i="3" a="1"/>
  <c r="AE13" i="3" s="1"/>
  <c r="AB14" i="3" a="1"/>
  <c r="AB14" i="3" s="1"/>
  <c r="AB64" i="3" a="1"/>
  <c r="AB64" i="3" s="1"/>
  <c r="AB20" i="3" a="1"/>
  <c r="AB20" i="3" s="1"/>
  <c r="A53" i="3"/>
  <c r="AY54" i="3" s="1"/>
  <c r="AB72" i="3" a="1"/>
  <c r="AB72" i="3" s="1"/>
  <c r="R23" i="45"/>
  <c r="AE72" i="3" a="1"/>
  <c r="AE72" i="3" s="1"/>
  <c r="R20" i="45"/>
  <c r="AE69" i="3" a="1"/>
  <c r="AE69" i="3" s="1"/>
  <c r="F36" i="45"/>
  <c r="AE37" i="3" a="1"/>
  <c r="AE37" i="3" s="1"/>
  <c r="F43" i="45"/>
  <c r="AE44" i="3" a="1"/>
  <c r="AE44" i="3" s="1"/>
  <c r="F46" i="45"/>
  <c r="AE47" i="3" a="1"/>
  <c r="AE47" i="3" s="1"/>
  <c r="O22" i="45"/>
  <c r="C40" i="45"/>
  <c r="AB41" i="3" a="1"/>
  <c r="AB41" i="3" s="1"/>
  <c r="C47" i="45"/>
  <c r="AB48" i="3" a="1"/>
  <c r="AB48" i="3" s="1"/>
  <c r="O21" i="45"/>
  <c r="AB70" i="3" a="1"/>
  <c r="AB70" i="3" s="1"/>
  <c r="C38" i="45"/>
  <c r="AB39" i="3" a="1"/>
  <c r="AB39" i="3" s="1"/>
  <c r="AF24" i="3"/>
  <c r="AA23" i="3"/>
  <c r="AY22" i="3"/>
  <c r="B70" i="31"/>
  <c r="AY63" i="3"/>
  <c r="AF60" i="3"/>
  <c r="AF63" i="3"/>
  <c r="AA13" i="3"/>
  <c r="AF17" i="3"/>
  <c r="AF15" i="3"/>
  <c r="AY16" i="3"/>
  <c r="AA37" i="3"/>
  <c r="AY40" i="3"/>
  <c r="AF38" i="3"/>
  <c r="AF40" i="3"/>
  <c r="AA65" i="3"/>
  <c r="AY65" i="3"/>
  <c r="AF61" i="3"/>
  <c r="AA63" i="3"/>
  <c r="AF78" i="3"/>
  <c r="AY80" i="3"/>
  <c r="AF80" i="3"/>
  <c r="AA77" i="3"/>
  <c r="AF64" i="3"/>
  <c r="AY64" i="3"/>
  <c r="AF62" i="3"/>
  <c r="AA61" i="3"/>
  <c r="AF71" i="3"/>
  <c r="AA73" i="3"/>
  <c r="AF68" i="3"/>
  <c r="AY71" i="3"/>
  <c r="AF31" i="3"/>
  <c r="AF28" i="3"/>
  <c r="AA33" i="3"/>
  <c r="AY31" i="3"/>
  <c r="O15" i="45"/>
  <c r="AF87" i="3"/>
  <c r="AA89" i="3"/>
  <c r="AF84" i="3"/>
  <c r="AY87" i="3"/>
  <c r="AY94" i="3"/>
  <c r="AA92" i="3"/>
  <c r="AF96" i="3"/>
  <c r="AA94" i="3"/>
  <c r="AA28" i="3"/>
  <c r="AF32" i="3"/>
  <c r="AY30" i="3"/>
  <c r="AA30" i="3"/>
  <c r="AF22" i="3"/>
  <c r="AA25" i="3"/>
  <c r="AF20" i="3"/>
  <c r="AY23" i="3"/>
  <c r="BC28" i="3"/>
  <c r="BC11" i="3"/>
  <c r="F20" i="45"/>
  <c r="BC29" i="3"/>
  <c r="C23" i="45"/>
  <c r="AF30" i="3"/>
  <c r="AA29" i="3"/>
  <c r="AF33" i="3"/>
  <c r="AY32" i="3"/>
  <c r="BC9" i="3"/>
  <c r="AA85" i="3"/>
  <c r="AF86" i="3"/>
  <c r="AF89" i="3"/>
  <c r="AY88" i="3"/>
  <c r="AY49" i="3"/>
  <c r="AF45" i="3"/>
  <c r="AA49" i="3"/>
  <c r="AA47" i="3"/>
  <c r="C21" i="45"/>
  <c r="AA84" i="3"/>
  <c r="AA86" i="3"/>
  <c r="AF88" i="3"/>
  <c r="AY86" i="3"/>
  <c r="BC53" i="3"/>
  <c r="C19" i="45"/>
  <c r="BC45" i="3"/>
  <c r="AF81" i="3"/>
  <c r="AA76" i="3"/>
  <c r="AA78" i="3"/>
  <c r="AY78" i="3"/>
  <c r="BC21" i="3"/>
  <c r="AA45" i="3"/>
  <c r="AF48" i="3"/>
  <c r="AF46" i="3"/>
  <c r="AY48" i="3"/>
  <c r="AF65" i="3"/>
  <c r="AA60" i="3"/>
  <c r="AY62" i="3"/>
  <c r="AA62" i="3"/>
  <c r="BC52" i="3"/>
  <c r="AY39" i="3"/>
  <c r="AA40" i="3"/>
  <c r="AF36" i="3"/>
  <c r="AF39" i="3"/>
  <c r="AF25" i="3"/>
  <c r="AF23" i="3"/>
  <c r="AA21" i="3"/>
  <c r="AY24" i="3"/>
  <c r="AA56" i="3"/>
  <c r="AF55" i="3"/>
  <c r="AY55" i="3"/>
  <c r="AF52" i="3"/>
  <c r="AF53" i="3"/>
  <c r="AY57" i="3"/>
  <c r="AA55" i="3"/>
  <c r="AA57" i="3"/>
  <c r="BC34" i="3"/>
  <c r="AF70" i="3"/>
  <c r="AA69" i="3"/>
  <c r="AY72" i="3"/>
  <c r="AF73" i="3"/>
  <c r="BC16" i="3"/>
  <c r="BC49" i="3"/>
  <c r="BC33" i="3"/>
  <c r="BC23" i="3"/>
  <c r="AA17" i="3"/>
  <c r="AY15" i="3"/>
  <c r="AF14" i="3"/>
  <c r="AF12" i="3"/>
  <c r="BC40" i="3"/>
  <c r="BC20" i="3"/>
  <c r="AA88" i="3"/>
  <c r="AY89" i="3"/>
  <c r="AF85" i="3"/>
  <c r="AA87" i="3"/>
  <c r="AF29" i="3" l="1"/>
  <c r="AA32" i="3"/>
  <c r="AY33" i="3"/>
  <c r="AY96" i="3"/>
  <c r="AA93" i="3"/>
  <c r="AB93" i="3" s="1" a="1"/>
  <c r="AB93" i="3" s="1"/>
  <c r="AA97" i="3"/>
  <c r="AB97" i="3" s="1" a="1"/>
  <c r="AB97" i="3" s="1"/>
  <c r="AF95" i="3"/>
  <c r="R46" i="45" s="1"/>
  <c r="AF92" i="3"/>
  <c r="AE92" i="3" s="1" a="1"/>
  <c r="AE92" i="3" s="1"/>
  <c r="AA6" i="3"/>
  <c r="AB6" i="3" s="1" a="1"/>
  <c r="AB6" i="3" s="1"/>
  <c r="AY81" i="3"/>
  <c r="AB88" i="3" a="1"/>
  <c r="AB88" i="3" s="1"/>
  <c r="AB84" i="3" a="1"/>
  <c r="AB84" i="3" s="1"/>
  <c r="AE86" i="3" a="1"/>
  <c r="AE86" i="3" s="1"/>
  <c r="AE87" i="3" a="1"/>
  <c r="AE87" i="3" s="1"/>
  <c r="AE85" i="3" a="1"/>
  <c r="AE85" i="3" s="1"/>
  <c r="AE88" i="3" a="1"/>
  <c r="AE88" i="3" s="1"/>
  <c r="AE84" i="3" a="1"/>
  <c r="AE84" i="3" s="1"/>
  <c r="AB86" i="3" a="1"/>
  <c r="AB86" i="3" s="1"/>
  <c r="AE89" i="3" a="1"/>
  <c r="AE89" i="3" s="1"/>
  <c r="AB89" i="3" a="1"/>
  <c r="AB89" i="3" s="1"/>
  <c r="AB85" i="3" a="1"/>
  <c r="AB85" i="3" s="1"/>
  <c r="AB94" i="3" a="1"/>
  <c r="AB94" i="3" s="1"/>
  <c r="AE96" i="3" a="1"/>
  <c r="AE96" i="3" s="1"/>
  <c r="AB95" i="3" a="1"/>
  <c r="AB95" i="3" s="1"/>
  <c r="AE97" i="3" a="1"/>
  <c r="AE97" i="3" s="1"/>
  <c r="AB87" i="3" a="1"/>
  <c r="AB87" i="3" s="1"/>
  <c r="AE48" i="3" a="1"/>
  <c r="AE48" i="3" s="1"/>
  <c r="AB47" i="3" a="1"/>
  <c r="AB47" i="3" s="1"/>
  <c r="AB61" i="3" a="1"/>
  <c r="AB61" i="3" s="1"/>
  <c r="AE63" i="3" a="1"/>
  <c r="AE63" i="3" s="1"/>
  <c r="AE70" i="3" a="1"/>
  <c r="AE70" i="3" s="1"/>
  <c r="AB45" i="3" a="1"/>
  <c r="AB45" i="3" s="1"/>
  <c r="AB62" i="3" a="1"/>
  <c r="AB62" i="3" s="1"/>
  <c r="AE62" i="3" a="1"/>
  <c r="AE62" i="3" s="1"/>
  <c r="AE60" i="3" a="1"/>
  <c r="AE60" i="3" s="1"/>
  <c r="AE45" i="3" a="1"/>
  <c r="AE45" i="3" s="1"/>
  <c r="AB49" i="3" a="1"/>
  <c r="AB49" i="3" s="1"/>
  <c r="AE73" i="3" a="1"/>
  <c r="AE73" i="3" s="1"/>
  <c r="AB60" i="3" a="1"/>
  <c r="AB60" i="3" s="1"/>
  <c r="AB78" i="3" a="1"/>
  <c r="AB78" i="3" s="1"/>
  <c r="AE65" i="3" a="1"/>
  <c r="AE65" i="3" s="1"/>
  <c r="AB76" i="3" a="1"/>
  <c r="AB76" i="3" s="1"/>
  <c r="AB77" i="3" a="1"/>
  <c r="AB77" i="3" s="1"/>
  <c r="AB63" i="3" a="1"/>
  <c r="AB63" i="3" s="1"/>
  <c r="AE77" i="3" a="1"/>
  <c r="AE77" i="3" s="1"/>
  <c r="AB69" i="3" a="1"/>
  <c r="AB69" i="3" s="1"/>
  <c r="AE81" i="3" a="1"/>
  <c r="AE81" i="3" s="1"/>
  <c r="AE68" i="3" a="1"/>
  <c r="AE68" i="3" s="1"/>
  <c r="AE80" i="3" a="1"/>
  <c r="AE80" i="3" s="1"/>
  <c r="AE61" i="3" a="1"/>
  <c r="AE61" i="3" s="1"/>
  <c r="AE46" i="3" a="1"/>
  <c r="AE46" i="3" s="1"/>
  <c r="AB73" i="3" a="1"/>
  <c r="AB73" i="3" s="1"/>
  <c r="AB46" i="3" a="1"/>
  <c r="AB46" i="3" s="1"/>
  <c r="AE71" i="3" a="1"/>
  <c r="AE71" i="3" s="1"/>
  <c r="AE78" i="3" a="1"/>
  <c r="AE78" i="3" s="1"/>
  <c r="AB65" i="3" a="1"/>
  <c r="AB65" i="3" s="1"/>
  <c r="AF94" i="3"/>
  <c r="R45" i="45" s="1"/>
  <c r="AE32" i="3" a="1"/>
  <c r="AE32" i="3" s="1"/>
  <c r="AE39" i="3" a="1"/>
  <c r="AE39" i="3" s="1"/>
  <c r="AA79" i="3"/>
  <c r="B49" i="31" s="1"/>
  <c r="AB31" i="3" a="1"/>
  <c r="AB31" i="3" s="1"/>
  <c r="AB28" i="3" a="1"/>
  <c r="AB28" i="3" s="1"/>
  <c r="AB32" i="3" a="1"/>
  <c r="AB32" i="3" s="1"/>
  <c r="AA81" i="3"/>
  <c r="O32" i="45" s="1"/>
  <c r="F23" i="45"/>
  <c r="AE36" i="3" a="1"/>
  <c r="AE36" i="3" s="1"/>
  <c r="AE33" i="3" a="1"/>
  <c r="AE33" i="3" s="1"/>
  <c r="AA8" i="3"/>
  <c r="B54" i="31" s="1"/>
  <c r="AE25" i="3" a="1"/>
  <c r="AE25" i="3" s="1"/>
  <c r="AY9" i="3"/>
  <c r="AE40" i="3" a="1"/>
  <c r="AE40" i="3" s="1"/>
  <c r="AE23" i="3" a="1"/>
  <c r="AE23" i="3" s="1"/>
  <c r="AB40" i="3" a="1"/>
  <c r="AB40" i="3" s="1"/>
  <c r="AB29" i="3" a="1"/>
  <c r="AB29" i="3" s="1"/>
  <c r="AE30" i="3" a="1"/>
  <c r="AE30" i="3" s="1"/>
  <c r="AB25" i="3" a="1"/>
  <c r="AB25" i="3" s="1"/>
  <c r="AB33" i="3" a="1"/>
  <c r="AB33" i="3" s="1"/>
  <c r="AE38" i="3" a="1"/>
  <c r="AE38" i="3" s="1"/>
  <c r="AB36" i="3" a="1"/>
  <c r="AB36" i="3" s="1"/>
  <c r="AE28" i="3" a="1"/>
  <c r="AE28" i="3" s="1"/>
  <c r="AB21" i="3" a="1"/>
  <c r="AB21" i="3" s="1"/>
  <c r="AE29" i="3" a="1"/>
  <c r="AE29" i="3" s="1"/>
  <c r="AB30" i="3" a="1"/>
  <c r="AB30" i="3" s="1"/>
  <c r="AE31" i="3" a="1"/>
  <c r="AE31" i="3" s="1"/>
  <c r="AB37" i="3" a="1"/>
  <c r="AB37" i="3" s="1"/>
  <c r="AE17" i="3" a="1"/>
  <c r="AE17" i="3" s="1"/>
  <c r="AB13" i="3" a="1"/>
  <c r="AB13" i="3" s="1"/>
  <c r="BC6" i="3"/>
  <c r="AE14" i="3" a="1"/>
  <c r="AE14" i="3" s="1"/>
  <c r="AE12" i="3" a="1"/>
  <c r="AE12" i="3" s="1"/>
  <c r="AB12" i="3" a="1"/>
  <c r="AB12" i="3" s="1"/>
  <c r="AB17" i="3" a="1"/>
  <c r="AB17" i="3" s="1"/>
  <c r="AE15" i="3" a="1"/>
  <c r="AE15" i="3" s="1"/>
  <c r="F8" i="45"/>
  <c r="AE8" i="3" a="1"/>
  <c r="AE8" i="3" s="1"/>
  <c r="AB7" i="3" a="1"/>
  <c r="AB7" i="3" s="1"/>
  <c r="AE5" i="3" a="1"/>
  <c r="AE5" i="3" s="1"/>
  <c r="AB5" i="3" a="1"/>
  <c r="AB5" i="3" s="1"/>
  <c r="AB4" i="3" a="1"/>
  <c r="AB4" i="3" s="1"/>
  <c r="AE4" i="3" a="1"/>
  <c r="AE4" i="3" s="1"/>
  <c r="AA38" i="3"/>
  <c r="AF41" i="3"/>
  <c r="AY38" i="3"/>
  <c r="C35" i="45"/>
  <c r="AB56" i="3" a="1"/>
  <c r="AB56" i="3" s="1"/>
  <c r="AE56" i="3" a="1"/>
  <c r="AE56" i="3" s="1"/>
  <c r="AE53" i="3" a="1"/>
  <c r="AE53" i="3" s="1"/>
  <c r="AE52" i="3" a="1"/>
  <c r="AE52" i="3" s="1"/>
  <c r="AE55" i="3" a="1"/>
  <c r="AE55" i="3" s="1"/>
  <c r="AB55" i="3" a="1"/>
  <c r="AB55" i="3" s="1"/>
  <c r="AB57" i="3" a="1"/>
  <c r="AB57" i="3" s="1"/>
  <c r="F7" i="45"/>
  <c r="AE9" i="3" a="1"/>
  <c r="AE9" i="3" s="1"/>
  <c r="C4" i="45"/>
  <c r="AF93" i="3"/>
  <c r="AA96" i="3"/>
  <c r="C6" i="45"/>
  <c r="AY97" i="3"/>
  <c r="B31" i="31"/>
  <c r="AB92" i="3" a="1"/>
  <c r="AB92" i="3" s="1"/>
  <c r="AE7" i="3" a="1"/>
  <c r="AE7" i="3" s="1"/>
  <c r="F6" i="45"/>
  <c r="AA44" i="3"/>
  <c r="AF6" i="3"/>
  <c r="AF49" i="3"/>
  <c r="AA9" i="3"/>
  <c r="AY46" i="3"/>
  <c r="AY7" i="3"/>
  <c r="F3" i="45"/>
  <c r="Q18" i="32"/>
  <c r="R18" i="32" s="1"/>
  <c r="AA15" i="3"/>
  <c r="AF16" i="3"/>
  <c r="AY14" i="3"/>
  <c r="AF54" i="3"/>
  <c r="AY56" i="3"/>
  <c r="AA53" i="3"/>
  <c r="Q7" i="32"/>
  <c r="BG8" i="45" s="1"/>
  <c r="Q3" i="32"/>
  <c r="R3" i="32" s="1"/>
  <c r="B6" i="31"/>
  <c r="C3" i="45"/>
  <c r="Q11" i="32"/>
  <c r="R11" i="32" s="1"/>
  <c r="Q37" i="32"/>
  <c r="T37" i="32" s="1"/>
  <c r="Q12" i="32"/>
  <c r="BG13" i="45" s="1"/>
  <c r="Q16" i="32"/>
  <c r="R16" i="32" s="1"/>
  <c r="Q15" i="32"/>
  <c r="S15" i="32" s="1"/>
  <c r="Q14" i="32"/>
  <c r="R14" i="32" s="1"/>
  <c r="Q27" i="32"/>
  <c r="S27" i="32" s="1"/>
  <c r="Q17" i="32"/>
  <c r="T17" i="32" s="1"/>
  <c r="Q21" i="32"/>
  <c r="T21" i="32" s="1"/>
  <c r="Q24" i="32"/>
  <c r="X24" i="32" s="1"/>
  <c r="Q8" i="32"/>
  <c r="T8" i="32" s="1"/>
  <c r="Q22" i="32"/>
  <c r="T22" i="32" s="1"/>
  <c r="Q5" i="32"/>
  <c r="R5" i="32" s="1"/>
  <c r="Q19" i="32"/>
  <c r="BG20" i="45" s="1"/>
  <c r="Q20" i="32"/>
  <c r="T20" i="32" s="1"/>
  <c r="Q23" i="32"/>
  <c r="S23" i="32" s="1"/>
  <c r="Q25" i="32"/>
  <c r="T25" i="32" s="1"/>
  <c r="Q10" i="32"/>
  <c r="BG11" i="45" s="1"/>
  <c r="Q33" i="32"/>
  <c r="S33" i="32" s="1"/>
  <c r="Q13" i="32"/>
  <c r="BG14" i="45" s="1"/>
  <c r="Q4" i="32"/>
  <c r="T4" i="32" s="1"/>
  <c r="Q9" i="32"/>
  <c r="T9" i="32" s="1"/>
  <c r="Q28" i="32"/>
  <c r="X28" i="32" s="1"/>
  <c r="Q26" i="32"/>
  <c r="BG27" i="45" s="1"/>
  <c r="Q6" i="32"/>
  <c r="T6" i="32" s="1"/>
  <c r="Q46" i="32"/>
  <c r="T46" i="32" s="1"/>
  <c r="Q29" i="32"/>
  <c r="T29" i="32" s="1"/>
  <c r="Q38" i="32"/>
  <c r="X38" i="32" s="1"/>
  <c r="Q42" i="32"/>
  <c r="BG43" i="45" s="1"/>
  <c r="Q34" i="32"/>
  <c r="BG35" i="45" s="1"/>
  <c r="Q45" i="32"/>
  <c r="S45" i="32" s="1"/>
  <c r="Q49" i="32"/>
  <c r="X49" i="32" s="1"/>
  <c r="Q40" i="32"/>
  <c r="T40" i="32" s="1"/>
  <c r="Q36" i="32"/>
  <c r="T36" i="32" s="1"/>
  <c r="Q47" i="32"/>
  <c r="R47" i="32" s="1"/>
  <c r="Q39" i="32"/>
  <c r="BG40" i="45" s="1"/>
  <c r="Q50" i="32"/>
  <c r="S50" i="32" s="1"/>
  <c r="Q32" i="32"/>
  <c r="R32" i="32" s="1"/>
  <c r="Q35" i="32"/>
  <c r="T35" i="32" s="1"/>
  <c r="Q44" i="32"/>
  <c r="X44" i="32" s="1"/>
  <c r="Q31" i="32"/>
  <c r="T31" i="32" s="1"/>
  <c r="Q48" i="32"/>
  <c r="R48" i="32" s="1"/>
  <c r="Q41" i="32"/>
  <c r="T41" i="32" s="1"/>
  <c r="Q43" i="32"/>
  <c r="X43" i="32" s="1"/>
  <c r="Q30" i="32"/>
  <c r="R30" i="32" s="1"/>
  <c r="AF57" i="3"/>
  <c r="AA54" i="3"/>
  <c r="AA52" i="3"/>
  <c r="B68" i="31"/>
  <c r="AE64" i="3" a="1"/>
  <c r="AE64" i="3" s="1"/>
  <c r="B10" i="31"/>
  <c r="AE20" i="3" a="1"/>
  <c r="AE20" i="3" s="1"/>
  <c r="B34" i="31"/>
  <c r="AE22" i="3" a="1"/>
  <c r="AE22" i="3" s="1"/>
  <c r="B58" i="31"/>
  <c r="AE24" i="3" a="1"/>
  <c r="AE24" i="3" s="1"/>
  <c r="C22" i="45"/>
  <c r="AB23" i="3" a="1"/>
  <c r="AB23" i="3" s="1"/>
  <c r="B35" i="31"/>
  <c r="R14" i="45"/>
  <c r="R11" i="45"/>
  <c r="F14" i="45"/>
  <c r="F16" i="45"/>
  <c r="C12" i="45"/>
  <c r="B9" i="31"/>
  <c r="O24" i="45"/>
  <c r="R22" i="45"/>
  <c r="B47" i="31"/>
  <c r="R29" i="45"/>
  <c r="C36" i="45"/>
  <c r="B15" i="31"/>
  <c r="O12" i="45"/>
  <c r="B21" i="31"/>
  <c r="O14" i="45"/>
  <c r="R13" i="45"/>
  <c r="R12" i="45"/>
  <c r="B45" i="31"/>
  <c r="R7" i="45"/>
  <c r="R15" i="45"/>
  <c r="C45" i="45"/>
  <c r="O16" i="45"/>
  <c r="O28" i="45"/>
  <c r="F39" i="45"/>
  <c r="C11" i="45"/>
  <c r="R19" i="45"/>
  <c r="B22" i="31"/>
  <c r="R31" i="45"/>
  <c r="B72" i="31"/>
  <c r="F37" i="45"/>
  <c r="F21" i="45"/>
  <c r="R38" i="45"/>
  <c r="C29" i="45"/>
  <c r="F31" i="45"/>
  <c r="B12" i="31"/>
  <c r="C27" i="45"/>
  <c r="O45" i="45"/>
  <c r="C32" i="45"/>
  <c r="F19" i="45"/>
  <c r="R47" i="45"/>
  <c r="R35" i="45"/>
  <c r="F27" i="45"/>
  <c r="C24" i="45"/>
  <c r="O43" i="45"/>
  <c r="O40" i="45"/>
  <c r="F30" i="45"/>
  <c r="R32" i="45"/>
  <c r="R21" i="45"/>
  <c r="B46" i="31"/>
  <c r="R6" i="45"/>
  <c r="F24" i="45"/>
  <c r="B59" i="31"/>
  <c r="B25" i="31"/>
  <c r="R28" i="45"/>
  <c r="R39" i="45"/>
  <c r="B41" i="31"/>
  <c r="C46" i="45"/>
  <c r="R37" i="45"/>
  <c r="O6" i="45"/>
  <c r="B43" i="31"/>
  <c r="C39" i="45"/>
  <c r="B62" i="31"/>
  <c r="R36" i="45"/>
  <c r="O7" i="45"/>
  <c r="B66" i="31"/>
  <c r="F38" i="45"/>
  <c r="B39" i="31"/>
  <c r="B20" i="31"/>
  <c r="O11" i="45"/>
  <c r="O29" i="45"/>
  <c r="B48" i="31"/>
  <c r="B50" i="31"/>
  <c r="O37" i="45"/>
  <c r="C48" i="45"/>
  <c r="O36" i="45"/>
  <c r="B27" i="31"/>
  <c r="F28" i="45"/>
  <c r="B57" i="31"/>
  <c r="C16" i="45"/>
  <c r="O39" i="45"/>
  <c r="B74" i="31"/>
  <c r="O8" i="45"/>
  <c r="F35" i="45"/>
  <c r="B69" i="31"/>
  <c r="R16" i="45"/>
  <c r="O27" i="45"/>
  <c r="B24" i="31"/>
  <c r="B26" i="31"/>
  <c r="O35" i="45"/>
  <c r="F44" i="45"/>
  <c r="B60" i="31"/>
  <c r="C31" i="45"/>
  <c r="F32" i="45"/>
  <c r="B61" i="31"/>
  <c r="B13" i="31"/>
  <c r="C28" i="45"/>
  <c r="C30" i="45"/>
  <c r="B37" i="31"/>
  <c r="R24" i="45"/>
  <c r="B71" i="31"/>
  <c r="R4" i="45"/>
  <c r="B40" i="31"/>
  <c r="F45" i="45"/>
  <c r="F29" i="45"/>
  <c r="B36" i="31"/>
  <c r="B14" i="31"/>
  <c r="O46" i="45"/>
  <c r="R48" i="45"/>
  <c r="B8" i="31"/>
  <c r="F11" i="45"/>
  <c r="R3" i="45"/>
  <c r="C20" i="45"/>
  <c r="B11" i="31"/>
  <c r="B64" i="31"/>
  <c r="F47" i="45"/>
  <c r="B51" i="31"/>
  <c r="O38" i="45"/>
  <c r="F13" i="45"/>
  <c r="B32" i="31"/>
  <c r="B23" i="31"/>
  <c r="O20" i="45"/>
  <c r="F22" i="45"/>
  <c r="B44" i="31"/>
  <c r="O13" i="45"/>
  <c r="C44" i="45"/>
  <c r="B17" i="31"/>
  <c r="R40" i="45"/>
  <c r="B75" i="31"/>
  <c r="F4" i="45"/>
  <c r="B7" i="31"/>
  <c r="R43" i="45" l="1"/>
  <c r="O44" i="45"/>
  <c r="B77" i="31"/>
  <c r="AE95" i="3" a="1"/>
  <c r="AE95" i="3" s="1"/>
  <c r="C5" i="45"/>
  <c r="B53" i="31"/>
  <c r="B28" i="31"/>
  <c r="O48" i="45"/>
  <c r="B73" i="31"/>
  <c r="B52" i="31"/>
  <c r="O30" i="45"/>
  <c r="AB8" i="3" a="1"/>
  <c r="AB8" i="3" s="1"/>
  <c r="C7" i="45"/>
  <c r="AE93" i="3" a="1"/>
  <c r="AE93" i="3" s="1"/>
  <c r="AE94" i="3" a="1"/>
  <c r="AE94" i="3" s="1"/>
  <c r="AB96" i="3" a="1"/>
  <c r="AB96" i="3" s="1"/>
  <c r="AE49" i="3" a="1"/>
  <c r="AE49" i="3" s="1"/>
  <c r="AB81" i="3" a="1"/>
  <c r="AB81" i="3" s="1"/>
  <c r="AB79" i="3" a="1"/>
  <c r="AB79" i="3" s="1"/>
  <c r="F40" i="45"/>
  <c r="AB38" i="3" a="1"/>
  <c r="AB38" i="3" s="1"/>
  <c r="AE16" i="3" a="1"/>
  <c r="AE16" i="3" s="1"/>
  <c r="AB15" i="3" a="1"/>
  <c r="AB15" i="3" s="1"/>
  <c r="AB9" i="3" a="1"/>
  <c r="AB9" i="3" s="1"/>
  <c r="F5" i="45"/>
  <c r="B63" i="31"/>
  <c r="B30" i="31"/>
  <c r="B38" i="31"/>
  <c r="AE41" i="3" a="1"/>
  <c r="AE41" i="3" s="1"/>
  <c r="AB44" i="3" a="1"/>
  <c r="AB44" i="3" s="1"/>
  <c r="C37" i="45"/>
  <c r="B29" i="31"/>
  <c r="O47" i="45"/>
  <c r="AE54" i="3" a="1"/>
  <c r="AE54" i="3" s="1"/>
  <c r="AB54" i="3" a="1"/>
  <c r="AB54" i="3" s="1"/>
  <c r="AB53" i="3" a="1"/>
  <c r="AB53" i="3" s="1"/>
  <c r="R44" i="45"/>
  <c r="B76" i="31"/>
  <c r="R8" i="45"/>
  <c r="F15" i="45"/>
  <c r="B56" i="31"/>
  <c r="S17" i="32"/>
  <c r="C43" i="45"/>
  <c r="B33" i="31"/>
  <c r="X27" i="32"/>
  <c r="C14" i="45"/>
  <c r="BI37" i="3"/>
  <c r="AE6" i="3" a="1"/>
  <c r="AE6" i="3" s="1"/>
  <c r="BG28" i="45"/>
  <c r="B16" i="31"/>
  <c r="BK36" i="3"/>
  <c r="R27" i="32"/>
  <c r="BG25" i="45"/>
  <c r="X45" i="32"/>
  <c r="BK15" i="3"/>
  <c r="T18" i="32"/>
  <c r="BK7" i="3"/>
  <c r="X19" i="32"/>
  <c r="S18" i="32"/>
  <c r="BK41" i="3"/>
  <c r="T19" i="32"/>
  <c r="BG33" i="45"/>
  <c r="S32" i="32"/>
  <c r="X34" i="32"/>
  <c r="BG7" i="45"/>
  <c r="R42" i="32"/>
  <c r="X4" i="32"/>
  <c r="O4" i="45"/>
  <c r="BI6" i="3"/>
  <c r="BG38" i="45"/>
  <c r="X37" i="32"/>
  <c r="T10" i="32"/>
  <c r="F48" i="45"/>
  <c r="BK14" i="3"/>
  <c r="B65" i="31"/>
  <c r="BG12" i="45"/>
  <c r="R37" i="32"/>
  <c r="R46" i="32"/>
  <c r="S37" i="32"/>
  <c r="R24" i="32"/>
  <c r="T24" i="32"/>
  <c r="BI32" i="3"/>
  <c r="BG49" i="45"/>
  <c r="C8" i="45"/>
  <c r="R5" i="45"/>
  <c r="B55" i="31"/>
  <c r="T32" i="32"/>
  <c r="BK37" i="3"/>
  <c r="S3" i="32"/>
  <c r="BG10" i="45"/>
  <c r="X14" i="32"/>
  <c r="BG19" i="45"/>
  <c r="X3" i="32"/>
  <c r="BG15" i="45"/>
  <c r="X18" i="32"/>
  <c r="BG30" i="45"/>
  <c r="R29" i="32"/>
  <c r="X5" i="32"/>
  <c r="X42" i="32"/>
  <c r="S4" i="32"/>
  <c r="BK50" i="3"/>
  <c r="BG31" i="45"/>
  <c r="BG6" i="45"/>
  <c r="T42" i="32"/>
  <c r="S30" i="32"/>
  <c r="BH21" i="3"/>
  <c r="T30" i="32"/>
  <c r="T50" i="32"/>
  <c r="BG23" i="3"/>
  <c r="X30" i="32"/>
  <c r="R50" i="32"/>
  <c r="X15" i="32"/>
  <c r="X50" i="32"/>
  <c r="T7" i="32"/>
  <c r="BG16" i="45"/>
  <c r="BG51" i="45"/>
  <c r="R7" i="32"/>
  <c r="B19" i="31"/>
  <c r="BG5" i="45"/>
  <c r="T15" i="32"/>
  <c r="X7" i="32"/>
  <c r="S34" i="32"/>
  <c r="BG4" i="45"/>
  <c r="R4" i="32"/>
  <c r="R15" i="32"/>
  <c r="T5" i="32"/>
  <c r="T3" i="32"/>
  <c r="S5" i="32"/>
  <c r="T34" i="32"/>
  <c r="S42" i="32"/>
  <c r="S7" i="32"/>
  <c r="BG28" i="3"/>
  <c r="BI51" i="3"/>
  <c r="T11" i="32"/>
  <c r="X11" i="32"/>
  <c r="BI12" i="3"/>
  <c r="R49" i="32"/>
  <c r="BK35" i="3"/>
  <c r="BJ45" i="3"/>
  <c r="BK22" i="3"/>
  <c r="BK24" i="3"/>
  <c r="BI26" i="3"/>
  <c r="BI50" i="3"/>
  <c r="BK6" i="3"/>
  <c r="BG21" i="45"/>
  <c r="T27" i="32"/>
  <c r="X26" i="32"/>
  <c r="R31" i="32"/>
  <c r="R35" i="32"/>
  <c r="R9" i="32"/>
  <c r="R34" i="32"/>
  <c r="BJ27" i="3"/>
  <c r="X21" i="32"/>
  <c r="BK30" i="3"/>
  <c r="BK29" i="3"/>
  <c r="BK32" i="3"/>
  <c r="BI19" i="3"/>
  <c r="R20" i="32"/>
  <c r="T26" i="32"/>
  <c r="BI14" i="3"/>
  <c r="BI44" i="3"/>
  <c r="BK27" i="3"/>
  <c r="BI35" i="3"/>
  <c r="BI15" i="3"/>
  <c r="X20" i="32"/>
  <c r="R19" i="32"/>
  <c r="BI40" i="3"/>
  <c r="BK48" i="3"/>
  <c r="S35" i="32"/>
  <c r="R25" i="32"/>
  <c r="BH37" i="3"/>
  <c r="BK39" i="3"/>
  <c r="R26" i="32"/>
  <c r="BJ42" i="3"/>
  <c r="BI22" i="3"/>
  <c r="BK47" i="3"/>
  <c r="BI30" i="3"/>
  <c r="BK19" i="3"/>
  <c r="BK13" i="3"/>
  <c r="BK43" i="3"/>
  <c r="BI10" i="3"/>
  <c r="S20" i="32"/>
  <c r="S19" i="32"/>
  <c r="BG29" i="45"/>
  <c r="BI9" i="3"/>
  <c r="X32" i="32"/>
  <c r="S14" i="32"/>
  <c r="S11" i="32"/>
  <c r="BJ51" i="3"/>
  <c r="BI7" i="3"/>
  <c r="BK12" i="3"/>
  <c r="BK26" i="3"/>
  <c r="BI8" i="3"/>
  <c r="BK8" i="3"/>
  <c r="BI42" i="3"/>
  <c r="BK33" i="3"/>
  <c r="R28" i="32"/>
  <c r="R45" i="32"/>
  <c r="T14" i="32"/>
  <c r="BJ18" i="3"/>
  <c r="S24" i="32"/>
  <c r="S41" i="32"/>
  <c r="BG42" i="45"/>
  <c r="X47" i="32"/>
  <c r="R41" i="32"/>
  <c r="BG48" i="45"/>
  <c r="T39" i="32"/>
  <c r="X29" i="32"/>
  <c r="X8" i="32"/>
  <c r="X41" i="32"/>
  <c r="R33" i="32"/>
  <c r="T47" i="32"/>
  <c r="X12" i="32"/>
  <c r="S29" i="32"/>
  <c r="R8" i="32"/>
  <c r="BG34" i="45"/>
  <c r="S47" i="32"/>
  <c r="S12" i="32"/>
  <c r="S8" i="32"/>
  <c r="BG17" i="45"/>
  <c r="X33" i="32"/>
  <c r="R12" i="32"/>
  <c r="BG9" i="45"/>
  <c r="T33" i="32"/>
  <c r="T12" i="32"/>
  <c r="T43" i="32"/>
  <c r="X16" i="32"/>
  <c r="S13" i="32"/>
  <c r="S16" i="32"/>
  <c r="R13" i="32"/>
  <c r="S22" i="32"/>
  <c r="T16" i="32"/>
  <c r="X13" i="32"/>
  <c r="S38" i="32"/>
  <c r="R43" i="32"/>
  <c r="R22" i="32"/>
  <c r="S39" i="32"/>
  <c r="T13" i="32"/>
  <c r="T38" i="32"/>
  <c r="BG44" i="45"/>
  <c r="BG23" i="45"/>
  <c r="X39" i="32"/>
  <c r="BG39" i="45"/>
  <c r="S43" i="32"/>
  <c r="X22" i="32"/>
  <c r="R39" i="32"/>
  <c r="R38" i="32"/>
  <c r="BJ52" i="3"/>
  <c r="BG46" i="3"/>
  <c r="X17" i="32"/>
  <c r="BJ46" i="3"/>
  <c r="BK53" i="3"/>
  <c r="BG37" i="3"/>
  <c r="BH47" i="3"/>
  <c r="BG36" i="3"/>
  <c r="BJ6" i="3"/>
  <c r="BH31" i="3"/>
  <c r="BG40" i="3"/>
  <c r="R17" i="32"/>
  <c r="BI53" i="3"/>
  <c r="BK45" i="3"/>
  <c r="BG24" i="45"/>
  <c r="BJ14" i="3"/>
  <c r="BH35" i="3"/>
  <c r="BJ24" i="3"/>
  <c r="BG6" i="3"/>
  <c r="BH51" i="3"/>
  <c r="S26" i="32"/>
  <c r="BI17" i="3"/>
  <c r="BI43" i="3"/>
  <c r="BI18" i="3"/>
  <c r="BI41" i="3"/>
  <c r="BK18" i="3"/>
  <c r="BJ28" i="3"/>
  <c r="BJ53" i="3"/>
  <c r="BK9" i="3"/>
  <c r="B18" i="31"/>
  <c r="BK20" i="3"/>
  <c r="S28" i="32"/>
  <c r="BG45" i="45"/>
  <c r="BG36" i="45"/>
  <c r="BG18" i="45"/>
  <c r="BH28" i="3"/>
  <c r="X9" i="32"/>
  <c r="BG46" i="45"/>
  <c r="X23" i="32"/>
  <c r="BJ22" i="3"/>
  <c r="BH6" i="3"/>
  <c r="BH13" i="3"/>
  <c r="BH26" i="3"/>
  <c r="BK11" i="3"/>
  <c r="BK21" i="3"/>
  <c r="BK38" i="3"/>
  <c r="BI27" i="3"/>
  <c r="BK17" i="3"/>
  <c r="BK51" i="3"/>
  <c r="BI13" i="3"/>
  <c r="BI36" i="3"/>
  <c r="BK10" i="3"/>
  <c r="BI24" i="3"/>
  <c r="BI39" i="3"/>
  <c r="BJ29" i="3"/>
  <c r="BH45" i="3"/>
  <c r="BI48" i="3"/>
  <c r="BG34" i="3"/>
  <c r="BH29" i="3"/>
  <c r="T28" i="32"/>
  <c r="S44" i="32"/>
  <c r="BK34" i="3"/>
  <c r="X35" i="32"/>
  <c r="BI11" i="3"/>
  <c r="S9" i="32"/>
  <c r="B67" i="31"/>
  <c r="T45" i="32"/>
  <c r="R23" i="32"/>
  <c r="BH14" i="3"/>
  <c r="BG13" i="3"/>
  <c r="BG32" i="3"/>
  <c r="BJ13" i="3"/>
  <c r="BG8" i="3"/>
  <c r="BJ16" i="3"/>
  <c r="BK44" i="3"/>
  <c r="BI47" i="3"/>
  <c r="BI38" i="3"/>
  <c r="BK25" i="3"/>
  <c r="BI25" i="3"/>
  <c r="BH48" i="3"/>
  <c r="BK40" i="3"/>
  <c r="BJ49" i="3"/>
  <c r="R44" i="32"/>
  <c r="BH52" i="3"/>
  <c r="BG9" i="3"/>
  <c r="BG50" i="45"/>
  <c r="BH16" i="3"/>
  <c r="BI49" i="3"/>
  <c r="T23" i="32"/>
  <c r="BG22" i="3"/>
  <c r="BG12" i="3"/>
  <c r="BG19" i="3"/>
  <c r="BG15" i="3"/>
  <c r="BJ10" i="3"/>
  <c r="BG16" i="3"/>
  <c r="BG20" i="3"/>
  <c r="BH23" i="3"/>
  <c r="BK31" i="3"/>
  <c r="T44" i="32"/>
  <c r="BK23" i="3"/>
  <c r="S49" i="32"/>
  <c r="BH49" i="3"/>
  <c r="BH40" i="3"/>
  <c r="BI33" i="3"/>
  <c r="BG25" i="3"/>
  <c r="BJ39" i="3"/>
  <c r="BH8" i="3"/>
  <c r="BG30" i="3"/>
  <c r="AE57" i="3" a="1"/>
  <c r="AE57" i="3" s="1"/>
  <c r="BK49" i="3"/>
  <c r="BG45" i="3"/>
  <c r="BG31" i="3"/>
  <c r="BJ31" i="3"/>
  <c r="BI23" i="3"/>
  <c r="BH9" i="3"/>
  <c r="T49" i="32"/>
  <c r="BH33" i="3"/>
  <c r="BH53" i="3"/>
  <c r="BJ20" i="3"/>
  <c r="BL20" i="3" s="1"/>
  <c r="BG44" i="3"/>
  <c r="BH44" i="3"/>
  <c r="BH10" i="3"/>
  <c r="BJ37" i="3"/>
  <c r="BK28" i="3"/>
  <c r="BI16" i="3"/>
  <c r="S31" i="32"/>
  <c r="R21" i="32"/>
  <c r="X31" i="32"/>
  <c r="S6" i="32"/>
  <c r="S21" i="32"/>
  <c r="S40" i="32"/>
  <c r="BG32" i="45"/>
  <c r="R6" i="32"/>
  <c r="BG22" i="45"/>
  <c r="R40" i="32"/>
  <c r="X6" i="32"/>
  <c r="X40" i="32"/>
  <c r="S25" i="32"/>
  <c r="R36" i="32"/>
  <c r="AB52" i="3" a="1"/>
  <c r="AB52" i="3" s="1"/>
  <c r="BJ41" i="3"/>
  <c r="BH11" i="3"/>
  <c r="BG37" i="45"/>
  <c r="BG51" i="3"/>
  <c r="BJ50" i="3"/>
  <c r="BH27" i="3"/>
  <c r="BH24" i="3"/>
  <c r="BJ47" i="3"/>
  <c r="BJ36" i="3"/>
  <c r="BH25" i="3"/>
  <c r="BK46" i="3"/>
  <c r="BG49" i="3"/>
  <c r="BI21" i="3"/>
  <c r="O3" i="45"/>
  <c r="S46" i="32"/>
  <c r="S48" i="32"/>
  <c r="BJ9" i="3"/>
  <c r="BL9" i="3" s="1"/>
  <c r="S10" i="32"/>
  <c r="BG21" i="3"/>
  <c r="X36" i="32"/>
  <c r="BG26" i="45"/>
  <c r="BK52" i="3"/>
  <c r="BG14" i="3"/>
  <c r="BJ32" i="3"/>
  <c r="BJ15" i="3"/>
  <c r="BH12" i="3"/>
  <c r="BH39" i="3"/>
  <c r="BG18" i="3"/>
  <c r="BJ26" i="3"/>
  <c r="BL26" i="3" s="1"/>
  <c r="BH43" i="3"/>
  <c r="BJ7" i="3"/>
  <c r="BJ38" i="3"/>
  <c r="BH18" i="3"/>
  <c r="BG53" i="3"/>
  <c r="BJ33" i="3"/>
  <c r="BI29" i="3"/>
  <c r="BG52" i="3"/>
  <c r="O5" i="45"/>
  <c r="X48" i="32"/>
  <c r="BG47" i="45"/>
  <c r="BH34" i="3"/>
  <c r="BG29" i="3"/>
  <c r="T48" i="32"/>
  <c r="BG48" i="3"/>
  <c r="BE48" i="3" s="1"/>
  <c r="BJ11" i="3"/>
  <c r="R10" i="32"/>
  <c r="BG41" i="45"/>
  <c r="S36" i="32"/>
  <c r="BH20" i="3"/>
  <c r="BI28" i="3"/>
  <c r="X25" i="32"/>
  <c r="BG17" i="3"/>
  <c r="BG38" i="3"/>
  <c r="BG43" i="3"/>
  <c r="BG47" i="3"/>
  <c r="BJ12" i="3"/>
  <c r="BG10" i="3"/>
  <c r="BJ44" i="3"/>
  <c r="BG50" i="3"/>
  <c r="BJ19" i="3"/>
  <c r="BJ8" i="3"/>
  <c r="BH32" i="3"/>
  <c r="BI45" i="3"/>
  <c r="BI31" i="3"/>
  <c r="BJ23" i="3"/>
  <c r="B42" i="31"/>
  <c r="BK16" i="3"/>
  <c r="X46" i="32"/>
  <c r="X10" i="32"/>
  <c r="BJ48" i="3"/>
  <c r="BG42" i="3"/>
  <c r="BH17" i="3"/>
  <c r="BG26" i="3"/>
  <c r="BG41" i="3"/>
  <c r="BG27" i="3"/>
  <c r="BH36" i="3"/>
  <c r="BH38" i="3"/>
  <c r="BG39" i="3"/>
  <c r="BH15" i="3"/>
  <c r="BH7" i="3"/>
  <c r="BH30" i="3"/>
  <c r="BH50" i="3"/>
  <c r="BJ40" i="3"/>
  <c r="BK42" i="3"/>
  <c r="BI46" i="3"/>
  <c r="BG11" i="3"/>
  <c r="BJ21" i="3"/>
  <c r="BJ34" i="3"/>
  <c r="BH42" i="3"/>
  <c r="BH46" i="3"/>
  <c r="BH22" i="3"/>
  <c r="BJ17" i="3"/>
  <c r="BH41" i="3"/>
  <c r="BJ25" i="3"/>
  <c r="BJ35" i="3"/>
  <c r="BG24" i="3"/>
  <c r="BG7" i="3"/>
  <c r="BG35" i="3"/>
  <c r="BJ30" i="3"/>
  <c r="BJ43" i="3"/>
  <c r="BH19" i="3"/>
  <c r="BI34" i="3"/>
  <c r="BI20" i="3"/>
  <c r="BG33" i="3"/>
  <c r="BI52" i="3"/>
  <c r="BL35" i="3" l="1"/>
  <c r="BE53" i="3"/>
  <c r="BL41" i="3"/>
  <c r="BL6" i="3"/>
  <c r="BL17" i="3"/>
  <c r="BL45" i="3"/>
  <c r="BL36" i="3"/>
  <c r="BE16" i="3"/>
  <c r="BF37" i="3"/>
  <c r="BO37" i="3" s="1"/>
  <c r="BL15" i="3"/>
  <c r="BL12" i="3"/>
  <c r="BL48" i="3"/>
  <c r="BL52" i="3"/>
  <c r="M2" i="32"/>
  <c r="AH82" i="32" s="1"/>
  <c r="N2" i="32"/>
  <c r="BL7" i="3"/>
  <c r="BE43" i="3"/>
  <c r="BE21" i="3"/>
  <c r="BL14" i="3"/>
  <c r="BE51" i="3"/>
  <c r="BL13" i="3"/>
  <c r="BL46" i="3"/>
  <c r="BL29" i="3"/>
  <c r="BE37" i="3"/>
  <c r="BE44" i="3"/>
  <c r="BL10" i="3"/>
  <c r="BF19" i="3"/>
  <c r="BO19" i="3" s="1"/>
  <c r="BL11" i="3"/>
  <c r="BE23" i="3"/>
  <c r="BL50" i="3"/>
  <c r="BL42" i="3"/>
  <c r="BL22" i="3"/>
  <c r="BE28" i="3"/>
  <c r="BL47" i="3"/>
  <c r="BL37" i="3"/>
  <c r="BL43" i="3"/>
  <c r="BL40" i="3"/>
  <c r="BF35" i="3"/>
  <c r="BO35" i="3" s="1"/>
  <c r="BF28" i="3"/>
  <c r="BO28" i="3" s="1"/>
  <c r="BF25" i="3"/>
  <c r="BO25" i="3" s="1"/>
  <c r="BL49" i="3"/>
  <c r="BL51" i="3"/>
  <c r="BL38" i="3"/>
  <c r="BL34" i="3"/>
  <c r="BL25" i="3"/>
  <c r="BE11" i="3"/>
  <c r="BL24" i="3"/>
  <c r="BL18" i="3"/>
  <c r="BF13" i="3"/>
  <c r="BO13" i="3" s="1"/>
  <c r="BE31" i="3"/>
  <c r="BE41" i="3"/>
  <c r="BL16" i="3"/>
  <c r="BL27" i="3"/>
  <c r="BL8" i="3"/>
  <c r="BL19" i="3"/>
  <c r="BL30" i="3"/>
  <c r="BE29" i="3"/>
  <c r="BL32" i="3"/>
  <c r="BL39" i="3"/>
  <c r="BL33" i="3"/>
  <c r="BE7" i="3"/>
  <c r="BF30" i="3"/>
  <c r="BO30" i="3" s="1"/>
  <c r="BL23" i="3"/>
  <c r="BE52" i="3"/>
  <c r="BE45" i="3"/>
  <c r="BF21" i="3"/>
  <c r="BO21" i="3" s="1"/>
  <c r="BE25" i="3"/>
  <c r="BE50" i="3"/>
  <c r="BF16" i="3"/>
  <c r="BO16" i="3" s="1"/>
  <c r="BE47" i="3"/>
  <c r="BE32" i="3"/>
  <c r="BF32" i="3"/>
  <c r="BO32" i="3" s="1"/>
  <c r="BF43" i="3"/>
  <c r="BO43" i="3" s="1"/>
  <c r="BF53" i="3"/>
  <c r="BO53" i="3" s="1"/>
  <c r="BL53" i="3"/>
  <c r="BE38" i="3"/>
  <c r="BF52" i="3"/>
  <c r="BO52" i="3" s="1"/>
  <c r="BF45" i="3"/>
  <c r="BO45" i="3" s="1"/>
  <c r="BE8" i="3"/>
  <c r="BF39" i="3"/>
  <c r="BO39" i="3" s="1"/>
  <c r="BF23" i="3"/>
  <c r="BO23" i="3" s="1"/>
  <c r="BF41" i="3"/>
  <c r="BO41" i="3" s="1"/>
  <c r="BF46" i="3"/>
  <c r="BO46" i="3" s="1"/>
  <c r="BE33" i="3"/>
  <c r="BL21" i="3"/>
  <c r="BE15" i="3"/>
  <c r="BF14" i="3"/>
  <c r="BO14" i="3" s="1"/>
  <c r="BF9" i="3"/>
  <c r="BO9" i="3" s="1"/>
  <c r="C3" i="32"/>
  <c r="BE12" i="3"/>
  <c r="BL28" i="3"/>
  <c r="BF6" i="3"/>
  <c r="BO6" i="3" s="1"/>
  <c r="BF40" i="3"/>
  <c r="BO40" i="3" s="1"/>
  <c r="BE27" i="3"/>
  <c r="BL31" i="3"/>
  <c r="BE13" i="3"/>
  <c r="BF38" i="3"/>
  <c r="BO38" i="3" s="1"/>
  <c r="BF44" i="3"/>
  <c r="BO44" i="3" s="1"/>
  <c r="BF50" i="3"/>
  <c r="BO50" i="3" s="1"/>
  <c r="BE30" i="3"/>
  <c r="BE40" i="3"/>
  <c r="BF36" i="3"/>
  <c r="BO36" i="3" s="1"/>
  <c r="BE49" i="3"/>
  <c r="BF31" i="3"/>
  <c r="BO31" i="3" s="1"/>
  <c r="BE20" i="3"/>
  <c r="BF47" i="3"/>
  <c r="BO47" i="3" s="1"/>
  <c r="BF22" i="3"/>
  <c r="BO22" i="3" s="1"/>
  <c r="BE26" i="3"/>
  <c r="BE10" i="3"/>
  <c r="BE34" i="3"/>
  <c r="BF12" i="3"/>
  <c r="BO12" i="3" s="1"/>
  <c r="BE9" i="3"/>
  <c r="BE39" i="3"/>
  <c r="BL44" i="3"/>
  <c r="BE6" i="3"/>
  <c r="BF8" i="3"/>
  <c r="BO8" i="3" s="1"/>
  <c r="BF27" i="3"/>
  <c r="BO27" i="3" s="1"/>
  <c r="BE14" i="3"/>
  <c r="BF24" i="3"/>
  <c r="BO24" i="3" s="1"/>
  <c r="BF18" i="3"/>
  <c r="BO18" i="3" s="1"/>
  <c r="BF49" i="3"/>
  <c r="BO49" i="3" s="1"/>
  <c r="BE46" i="3"/>
  <c r="BE35" i="3"/>
  <c r="BF48" i="3"/>
  <c r="BO48" i="3" s="1"/>
  <c r="BF10" i="3"/>
  <c r="BO10" i="3" s="1"/>
  <c r="BE18" i="3"/>
  <c r="BF26" i="3"/>
  <c r="BO26" i="3" s="1"/>
  <c r="BF17" i="3"/>
  <c r="BO17" i="3" s="1"/>
  <c r="BF29" i="3"/>
  <c r="BO29" i="3" s="1"/>
  <c r="BE19" i="3"/>
  <c r="BE42" i="3"/>
  <c r="BE17" i="3"/>
  <c r="BF51" i="3"/>
  <c r="BO51" i="3" s="1"/>
  <c r="BF42" i="3"/>
  <c r="BO42" i="3" s="1"/>
  <c r="BE24" i="3"/>
  <c r="BF20" i="3"/>
  <c r="BO20" i="3" s="1"/>
  <c r="BE22" i="3"/>
  <c r="BF15" i="3"/>
  <c r="BO15" i="3" s="1"/>
  <c r="BE36" i="3"/>
  <c r="BF34" i="3"/>
  <c r="BO34" i="3" s="1"/>
  <c r="BF33" i="3"/>
  <c r="BO33" i="3" s="1"/>
  <c r="BF7" i="3"/>
  <c r="BO7" i="3" s="1"/>
  <c r="BF11" i="3"/>
  <c r="BO11" i="3" s="1"/>
  <c r="BP34" i="3" l="1"/>
  <c r="BP51" i="3"/>
  <c r="BP7" i="3"/>
  <c r="BP42" i="3"/>
  <c r="BP10" i="3"/>
  <c r="BP6" i="3"/>
  <c r="BP36" i="3"/>
  <c r="BP9" i="3"/>
  <c r="BP39" i="3"/>
  <c r="BP16" i="3"/>
  <c r="BP30" i="3"/>
  <c r="BP25" i="3"/>
  <c r="BP37" i="3"/>
  <c r="BP48" i="3"/>
  <c r="BP27" i="3"/>
  <c r="BP14" i="3"/>
  <c r="BP53" i="3"/>
  <c r="BP28" i="3"/>
  <c r="BP15" i="3"/>
  <c r="BP8" i="3"/>
  <c r="BP45" i="3"/>
  <c r="BP43" i="3"/>
  <c r="BP35" i="3"/>
  <c r="BP40" i="3"/>
  <c r="BP32" i="3"/>
  <c r="BP21" i="3"/>
  <c r="BP19" i="3"/>
  <c r="BP20" i="3"/>
  <c r="BP29" i="3"/>
  <c r="BP49" i="3"/>
  <c r="BP47" i="3"/>
  <c r="BP22" i="3"/>
  <c r="BP11" i="3"/>
  <c r="BP17" i="3"/>
  <c r="BP18" i="3"/>
  <c r="BP50" i="3"/>
  <c r="BP46" i="3"/>
  <c r="BP13" i="3"/>
  <c r="BP26" i="3"/>
  <c r="BP24" i="3"/>
  <c r="BP31" i="3"/>
  <c r="BP44" i="3"/>
  <c r="BP41" i="3"/>
  <c r="BP52" i="3"/>
  <c r="BP33" i="3"/>
  <c r="BP12" i="3"/>
  <c r="BP38" i="3"/>
  <c r="BP23" i="3"/>
  <c r="W63" i="32"/>
  <c r="AF50" i="32"/>
  <c r="AF65" i="32"/>
  <c r="AG65" i="32" s="1"/>
  <c r="V65" i="32" s="1"/>
  <c r="W75" i="32"/>
  <c r="W84" i="32"/>
  <c r="AH21" i="32"/>
  <c r="AF22" i="32"/>
  <c r="AG22" i="32" s="1"/>
  <c r="W81" i="32"/>
  <c r="AF24" i="32"/>
  <c r="AG24" i="32" s="1"/>
  <c r="W83" i="32"/>
  <c r="AH17" i="32"/>
  <c r="AH64" i="32"/>
  <c r="AH6" i="32"/>
  <c r="AH38" i="32"/>
  <c r="W86" i="32"/>
  <c r="AH80" i="32"/>
  <c r="AF13" i="32"/>
  <c r="AG13" i="32" s="1"/>
  <c r="W85" i="32"/>
  <c r="AH60" i="32"/>
  <c r="AH39" i="32"/>
  <c r="W60" i="32"/>
  <c r="W72" i="32"/>
  <c r="AF23" i="32"/>
  <c r="AG23" i="32" s="1"/>
  <c r="AH57" i="32"/>
  <c r="AF67" i="32"/>
  <c r="U67" i="32" s="1"/>
  <c r="AF44" i="32"/>
  <c r="AG44" i="32" s="1"/>
  <c r="V50" i="32" s="1"/>
  <c r="AF53" i="32"/>
  <c r="AG53" i="32" s="1"/>
  <c r="V53" i="32" s="1"/>
  <c r="W78" i="32"/>
  <c r="W71" i="32"/>
  <c r="AF73" i="32"/>
  <c r="AG73" i="32" s="1"/>
  <c r="V73" i="32" s="1"/>
  <c r="AF45" i="32"/>
  <c r="AG45" i="32" s="1"/>
  <c r="AH73" i="32"/>
  <c r="AF63" i="32"/>
  <c r="AG63" i="32" s="1"/>
  <c r="V63" i="32" s="1"/>
  <c r="AH22" i="32"/>
  <c r="AH20" i="32"/>
  <c r="AF83" i="32"/>
  <c r="U83" i="32" s="1"/>
  <c r="AF31" i="32"/>
  <c r="AH81" i="32"/>
  <c r="AH30" i="32"/>
  <c r="W58" i="32"/>
  <c r="W74" i="32"/>
  <c r="AF28" i="32"/>
  <c r="AG28" i="32" s="1"/>
  <c r="AH43" i="32"/>
  <c r="W49" i="32" s="1"/>
  <c r="W68" i="32"/>
  <c r="AH51" i="32"/>
  <c r="AF17" i="32"/>
  <c r="AG17" i="32" s="1"/>
  <c r="AH7" i="32"/>
  <c r="AF75" i="32"/>
  <c r="AG75" i="32" s="1"/>
  <c r="V75" i="32" s="1"/>
  <c r="AF80" i="32"/>
  <c r="AG80" i="32" s="1"/>
  <c r="V80" i="32" s="1"/>
  <c r="AF64" i="32"/>
  <c r="AG64" i="32" s="1"/>
  <c r="V64" i="32" s="1"/>
  <c r="AH55" i="32"/>
  <c r="AH68" i="32"/>
  <c r="AF82" i="32"/>
  <c r="AG82" i="32" s="1"/>
  <c r="V82" i="32" s="1"/>
  <c r="AF48" i="32"/>
  <c r="AG48" i="32" s="1"/>
  <c r="AH49" i="32"/>
  <c r="AF68" i="32"/>
  <c r="AG68" i="32" s="1"/>
  <c r="V68" i="32" s="1"/>
  <c r="W51" i="32"/>
  <c r="AF12" i="32"/>
  <c r="AG12" i="32" s="1"/>
  <c r="W61" i="32"/>
  <c r="AF15" i="32"/>
  <c r="AG15" i="32" s="1"/>
  <c r="AF29" i="32"/>
  <c r="AG29" i="32" s="1"/>
  <c r="AH67" i="32"/>
  <c r="AH66" i="32"/>
  <c r="AH36" i="32"/>
  <c r="AH40" i="32"/>
  <c r="AF19" i="32"/>
  <c r="AG19" i="32" s="1"/>
  <c r="AH4" i="32"/>
  <c r="AF18" i="32"/>
  <c r="AG18" i="32" s="1"/>
  <c r="AF71" i="32"/>
  <c r="AG71" i="32" s="1"/>
  <c r="V71" i="32" s="1"/>
  <c r="AF35" i="32"/>
  <c r="AG35" i="32" s="1"/>
  <c r="W66" i="32"/>
  <c r="AF16" i="32"/>
  <c r="AG16" i="32" s="1"/>
  <c r="AF30" i="32"/>
  <c r="AG30" i="32" s="1"/>
  <c r="AF41" i="32"/>
  <c r="AG41" i="32" s="1"/>
  <c r="AH69" i="32"/>
  <c r="AH79" i="32"/>
  <c r="AF8" i="32"/>
  <c r="AG8" i="32" s="1"/>
  <c r="AH41" i="32"/>
  <c r="AH32" i="32"/>
  <c r="W70" i="32"/>
  <c r="AH11" i="32"/>
  <c r="AH13" i="32"/>
  <c r="AH27" i="32"/>
  <c r="W64" i="32"/>
  <c r="AH12" i="32"/>
  <c r="AF7" i="32"/>
  <c r="AF36" i="32"/>
  <c r="AG36" i="32" s="1"/>
  <c r="W53" i="32"/>
  <c r="AH70" i="32"/>
  <c r="W62" i="32"/>
  <c r="AF72" i="32"/>
  <c r="AG72" i="32" s="1"/>
  <c r="V72" i="32" s="1"/>
  <c r="W79" i="32"/>
  <c r="W59" i="32"/>
  <c r="AH86" i="32"/>
  <c r="AF6" i="32"/>
  <c r="AG6" i="32" s="1"/>
  <c r="AH63" i="32"/>
  <c r="W82" i="32"/>
  <c r="AF55" i="32"/>
  <c r="AG55" i="32" s="1"/>
  <c r="V55" i="32" s="1"/>
  <c r="W65" i="32"/>
  <c r="AH85" i="32"/>
  <c r="W69" i="32"/>
  <c r="AH31" i="32"/>
  <c r="AF69" i="32"/>
  <c r="AG69" i="32" s="1"/>
  <c r="V69" i="32" s="1"/>
  <c r="AH72" i="32"/>
  <c r="AH65" i="32"/>
  <c r="AH16" i="32"/>
  <c r="AF70" i="32"/>
  <c r="AG70" i="32" s="1"/>
  <c r="V70" i="32" s="1"/>
  <c r="W52" i="32"/>
  <c r="AH34" i="32"/>
  <c r="AF27" i="32"/>
  <c r="AG27" i="32" s="1"/>
  <c r="AF11" i="32"/>
  <c r="AG11" i="32" s="1"/>
  <c r="AF25" i="32"/>
  <c r="AH54" i="32"/>
  <c r="W57" i="32"/>
  <c r="AF14" i="32"/>
  <c r="AG14" i="32" s="1"/>
  <c r="AH23" i="32"/>
  <c r="AF56" i="32"/>
  <c r="U56" i="32" s="1"/>
  <c r="AF60" i="32"/>
  <c r="AG60" i="32" s="1"/>
  <c r="V60" i="32" s="1"/>
  <c r="AF78" i="32"/>
  <c r="AG78" i="32" s="1"/>
  <c r="V78" i="32" s="1"/>
  <c r="AF86" i="32"/>
  <c r="AG86" i="32" s="1"/>
  <c r="V86" i="32" s="1"/>
  <c r="W73" i="32"/>
  <c r="AF38" i="32"/>
  <c r="AG38" i="32" s="1"/>
  <c r="AF85" i="32"/>
  <c r="U85" i="32" s="1"/>
  <c r="AF51" i="32"/>
  <c r="AG51" i="32" s="1"/>
  <c r="V51" i="32" s="1"/>
  <c r="AF10" i="32"/>
  <c r="AG10" i="32" s="1"/>
  <c r="AF42" i="32"/>
  <c r="AG42" i="32" s="1"/>
  <c r="AH59" i="32"/>
  <c r="AF79" i="32"/>
  <c r="U79" i="32" s="1"/>
  <c r="AH52" i="32"/>
  <c r="AH76" i="32"/>
  <c r="AF26" i="32"/>
  <c r="AG26" i="32" s="1"/>
  <c r="AH75" i="32"/>
  <c r="AH78" i="32"/>
  <c r="AH47" i="32"/>
  <c r="AF40" i="32"/>
  <c r="AG40" i="32" s="1"/>
  <c r="AH37" i="32"/>
  <c r="AF58" i="32"/>
  <c r="U58" i="32" s="1"/>
  <c r="AF43" i="32"/>
  <c r="AG43" i="32" s="1"/>
  <c r="V49" i="32" s="1"/>
  <c r="AH44" i="32"/>
  <c r="W50" i="32" s="1"/>
  <c r="AH9" i="32"/>
  <c r="AH42" i="32"/>
  <c r="AF66" i="32"/>
  <c r="AG66" i="32" s="1"/>
  <c r="V66" i="32" s="1"/>
  <c r="AH33" i="32"/>
  <c r="AH77" i="32"/>
  <c r="AH5" i="32"/>
  <c r="AF84" i="32"/>
  <c r="AG84" i="32" s="1"/>
  <c r="V84" i="32" s="1"/>
  <c r="AF3" i="32"/>
  <c r="AF20" i="32"/>
  <c r="AG20" i="32" s="1"/>
  <c r="W67" i="32"/>
  <c r="AF46" i="32"/>
  <c r="AG46" i="32" s="1"/>
  <c r="AF74" i="32"/>
  <c r="AG74" i="32" s="1"/>
  <c r="V74" i="32" s="1"/>
  <c r="W54" i="32"/>
  <c r="AH74" i="32"/>
  <c r="AH50" i="32"/>
  <c r="AH26" i="32"/>
  <c r="AF59" i="32"/>
  <c r="U59" i="32" s="1"/>
  <c r="AH25" i="32"/>
  <c r="AH48" i="32"/>
  <c r="AF61" i="32"/>
  <c r="AG61" i="32" s="1"/>
  <c r="V61" i="32" s="1"/>
  <c r="AF57" i="32"/>
  <c r="AG57" i="32" s="1"/>
  <c r="V57" i="32" s="1"/>
  <c r="AF34" i="32"/>
  <c r="AG34" i="32" s="1"/>
  <c r="AF77" i="32"/>
  <c r="AG77" i="32" s="1"/>
  <c r="V77" i="32" s="1"/>
  <c r="AF54" i="32"/>
  <c r="AG54" i="32" s="1"/>
  <c r="V54" i="32" s="1"/>
  <c r="W76" i="32"/>
  <c r="AF47" i="32"/>
  <c r="AG47" i="32" s="1"/>
  <c r="AH15" i="32"/>
  <c r="W80" i="32"/>
  <c r="AH71" i="32"/>
  <c r="AH24" i="32"/>
  <c r="AH53" i="32"/>
  <c r="AH3" i="32"/>
  <c r="AF49" i="32"/>
  <c r="AG49" i="32" s="1"/>
  <c r="AH58" i="32"/>
  <c r="AH19" i="32"/>
  <c r="AH45" i="32"/>
  <c r="AF81" i="32"/>
  <c r="U81" i="32" s="1"/>
  <c r="AH8" i="32"/>
  <c r="AH62" i="32"/>
  <c r="AF5" i="32"/>
  <c r="AG5" i="32" s="1"/>
  <c r="AF32" i="32"/>
  <c r="AG32" i="32" s="1"/>
  <c r="AH14" i="32"/>
  <c r="AF33" i="32"/>
  <c r="AG33" i="32" s="1"/>
  <c r="AH56" i="32"/>
  <c r="AH46" i="32"/>
  <c r="AF37" i="32"/>
  <c r="AG37" i="32" s="1"/>
  <c r="AH18" i="32"/>
  <c r="AF62" i="32"/>
  <c r="AG62" i="32" s="1"/>
  <c r="V62" i="32" s="1"/>
  <c r="AF21" i="32"/>
  <c r="AG21" i="32" s="1"/>
  <c r="AH28" i="32"/>
  <c r="AH35" i="32"/>
  <c r="AF4" i="32"/>
  <c r="AG4" i="32" s="1"/>
  <c r="W77" i="32"/>
  <c r="AH84" i="32"/>
  <c r="AF52" i="32"/>
  <c r="AG52" i="32" s="1"/>
  <c r="V52" i="32" s="1"/>
  <c r="AF76" i="32"/>
  <c r="U76" i="32" s="1"/>
  <c r="AF9" i="32"/>
  <c r="AH83" i="32"/>
  <c r="AF39" i="32"/>
  <c r="AG39" i="32" s="1"/>
  <c r="AH61" i="32"/>
  <c r="W56" i="32"/>
  <c r="AH10" i="32"/>
  <c r="AH29" i="32"/>
  <c r="W55" i="32"/>
  <c r="DK51" i="3"/>
  <c r="DK22" i="3"/>
  <c r="DK18" i="3"/>
  <c r="DK53" i="3"/>
  <c r="DK25" i="3"/>
  <c r="DK24" i="3"/>
  <c r="H105" i="3"/>
  <c r="DK23" i="3"/>
  <c r="DK47" i="3"/>
  <c r="DK11" i="3"/>
  <c r="DK29" i="3"/>
  <c r="DK19" i="3"/>
  <c r="H104" i="3"/>
  <c r="DK17" i="3"/>
  <c r="H101" i="3"/>
  <c r="H107" i="3"/>
  <c r="DK20" i="3"/>
  <c r="DK33" i="3"/>
  <c r="H106" i="3"/>
  <c r="DK30" i="3"/>
  <c r="DK9" i="3"/>
  <c r="DK8" i="3"/>
  <c r="DK32" i="3"/>
  <c r="DK31" i="3"/>
  <c r="DK28" i="3"/>
  <c r="DK40" i="3"/>
  <c r="DK48" i="3"/>
  <c r="H110" i="3"/>
  <c r="DK12" i="3"/>
  <c r="DK52" i="3"/>
  <c r="DK49" i="3"/>
  <c r="DK43" i="3"/>
  <c r="DK46" i="3"/>
  <c r="DK21" i="3"/>
  <c r="DK36" i="3"/>
  <c r="DK6" i="3"/>
  <c r="DK7" i="3"/>
  <c r="H103" i="3"/>
  <c r="DK41" i="3"/>
  <c r="DK16" i="3"/>
  <c r="DK38" i="3"/>
  <c r="DK14" i="3"/>
  <c r="H109" i="3"/>
  <c r="H108" i="3"/>
  <c r="DK26" i="3"/>
  <c r="DK39" i="3"/>
  <c r="H111" i="3"/>
  <c r="DK27" i="3"/>
  <c r="DK37" i="3"/>
  <c r="H112" i="3"/>
  <c r="DK50" i="3"/>
  <c r="DK35" i="3"/>
  <c r="DK34" i="3"/>
  <c r="DK15" i="3"/>
  <c r="DK44" i="3"/>
  <c r="DK42" i="3"/>
  <c r="DK45" i="3"/>
  <c r="H102" i="3"/>
  <c r="DK10" i="3"/>
  <c r="DK13" i="3"/>
  <c r="W5" i="32" l="1"/>
  <c r="V6" i="32"/>
  <c r="W7" i="32"/>
  <c r="W6" i="32"/>
  <c r="U3" i="32"/>
  <c r="W33" i="32"/>
  <c r="U25" i="32"/>
  <c r="W37" i="32"/>
  <c r="W18" i="32"/>
  <c r="W43" i="32"/>
  <c r="U7" i="32"/>
  <c r="U9" i="32"/>
  <c r="W9" i="32"/>
  <c r="W4" i="32"/>
  <c r="W8" i="32"/>
  <c r="W23" i="32"/>
  <c r="V40" i="32"/>
  <c r="W35" i="32"/>
  <c r="W38" i="32"/>
  <c r="V17" i="32"/>
  <c r="W10" i="32"/>
  <c r="V34" i="32"/>
  <c r="W39" i="32"/>
  <c r="W36" i="32"/>
  <c r="V11" i="32"/>
  <c r="W19" i="32"/>
  <c r="W40" i="32"/>
  <c r="V35" i="32"/>
  <c r="W21" i="32"/>
  <c r="W34" i="32"/>
  <c r="W12" i="32"/>
  <c r="W20" i="32"/>
  <c r="W17" i="32"/>
  <c r="W16" i="32"/>
  <c r="W13" i="32"/>
  <c r="V12" i="32"/>
  <c r="W11" i="32"/>
  <c r="V46" i="32"/>
  <c r="V48" i="32"/>
  <c r="W47" i="32"/>
  <c r="W44" i="32"/>
  <c r="W48" i="32"/>
  <c r="V47" i="32"/>
  <c r="W42" i="32"/>
  <c r="V45" i="32"/>
  <c r="W41" i="32"/>
  <c r="W45" i="32"/>
  <c r="V44" i="32"/>
  <c r="U43" i="32"/>
  <c r="W46" i="32"/>
  <c r="BQ23" i="3"/>
  <c r="BR23" i="3" s="1"/>
  <c r="BQ41" i="3"/>
  <c r="BR41" i="3" s="1"/>
  <c r="BQ18" i="3"/>
  <c r="BR18" i="3" s="1"/>
  <c r="BQ29" i="3"/>
  <c r="BR29" i="3" s="1"/>
  <c r="BQ16" i="3"/>
  <c r="BR16" i="3" s="1"/>
  <c r="BQ12" i="3"/>
  <c r="BR12" i="3" s="1"/>
  <c r="BQ24" i="3"/>
  <c r="BR24" i="3" s="1"/>
  <c r="BQ11" i="3"/>
  <c r="BR11" i="3" s="1"/>
  <c r="BQ22" i="3"/>
  <c r="BR22" i="3" s="1"/>
  <c r="BQ28" i="3"/>
  <c r="BR28" i="3" s="1"/>
  <c r="BQ39" i="3"/>
  <c r="BR39" i="3" s="1"/>
  <c r="BQ17" i="3"/>
  <c r="BR17" i="3" s="1"/>
  <c r="BQ33" i="3"/>
  <c r="BR33" i="3" s="1"/>
  <c r="BQ42" i="3"/>
  <c r="BR42" i="3" s="1"/>
  <c r="BQ8" i="3"/>
  <c r="BR8" i="3" s="1"/>
  <c r="BQ35" i="3"/>
  <c r="BR35" i="3" s="1"/>
  <c r="BQ53" i="3"/>
  <c r="BR53" i="3" s="1"/>
  <c r="BQ36" i="3"/>
  <c r="BR36" i="3" s="1"/>
  <c r="BQ40" i="3"/>
  <c r="BR40" i="3" s="1"/>
  <c r="BQ31" i="3"/>
  <c r="BR31" i="3" s="1"/>
  <c r="BQ20" i="3"/>
  <c r="BR20" i="3" s="1"/>
  <c r="BQ44" i="3"/>
  <c r="BR44" i="3" s="1"/>
  <c r="BQ15" i="3"/>
  <c r="BR15" i="3" s="1"/>
  <c r="BQ9" i="3"/>
  <c r="BR9" i="3" s="1"/>
  <c r="BQ43" i="3"/>
  <c r="BR43" i="3" s="1"/>
  <c r="BQ14" i="3"/>
  <c r="BR14" i="3" s="1"/>
  <c r="BQ10" i="3"/>
  <c r="BR10" i="3" s="1"/>
  <c r="BQ30" i="3"/>
  <c r="BR30" i="3" s="1"/>
  <c r="BQ38" i="3"/>
  <c r="BR38" i="3" s="1"/>
  <c r="BQ45" i="3"/>
  <c r="BR45" i="3" s="1"/>
  <c r="BQ26" i="3"/>
  <c r="BR26" i="3" s="1"/>
  <c r="BQ13" i="3"/>
  <c r="BR13" i="3" s="1"/>
  <c r="BQ6" i="3"/>
  <c r="BQ19" i="3"/>
  <c r="BR19" i="3" s="1"/>
  <c r="BQ27" i="3"/>
  <c r="BR27" i="3" s="1"/>
  <c r="BQ48" i="3"/>
  <c r="BR48" i="3" s="1"/>
  <c r="BQ7" i="3"/>
  <c r="BR7" i="3" s="1"/>
  <c r="BQ46" i="3"/>
  <c r="BR46" i="3" s="1"/>
  <c r="BQ47" i="3"/>
  <c r="BR47" i="3" s="1"/>
  <c r="BQ21" i="3"/>
  <c r="BR21" i="3" s="1"/>
  <c r="BQ37" i="3"/>
  <c r="BR37" i="3" s="1"/>
  <c r="BQ34" i="3"/>
  <c r="BR34" i="3" s="1"/>
  <c r="BQ52" i="3"/>
  <c r="BR52" i="3" s="1"/>
  <c r="BQ50" i="3"/>
  <c r="BR50" i="3" s="1"/>
  <c r="BQ49" i="3"/>
  <c r="BR49" i="3" s="1"/>
  <c r="BQ32" i="3"/>
  <c r="BR32" i="3" s="1"/>
  <c r="BQ25" i="3"/>
  <c r="BR25" i="3" s="1"/>
  <c r="BQ51" i="3"/>
  <c r="BR51" i="3" s="1"/>
  <c r="W28" i="32"/>
  <c r="W24" i="32"/>
  <c r="W25" i="32"/>
  <c r="W27" i="32"/>
  <c r="W26" i="32"/>
  <c r="W22" i="32"/>
  <c r="V24" i="32"/>
  <c r="W30" i="32"/>
  <c r="W31" i="32"/>
  <c r="W29" i="32"/>
  <c r="U30" i="32"/>
  <c r="U35" i="32"/>
  <c r="AG56" i="32"/>
  <c r="V56" i="32" s="1"/>
  <c r="U13" i="32"/>
  <c r="AG50" i="32"/>
  <c r="V43" i="32" s="1"/>
  <c r="AG67" i="32"/>
  <c r="V67" i="32" s="1"/>
  <c r="U50" i="32"/>
  <c r="U24" i="32"/>
  <c r="U32" i="32"/>
  <c r="U64" i="32"/>
  <c r="U72" i="32"/>
  <c r="U15" i="32"/>
  <c r="U23" i="32"/>
  <c r="U22" i="32"/>
  <c r="U17" i="32"/>
  <c r="U65" i="32"/>
  <c r="U53" i="32"/>
  <c r="U39" i="32"/>
  <c r="U40" i="32"/>
  <c r="U11" i="32"/>
  <c r="U41" i="32"/>
  <c r="U69" i="32"/>
  <c r="U10" i="32"/>
  <c r="U27" i="32"/>
  <c r="AG7" i="32"/>
  <c r="U60" i="32"/>
  <c r="U73" i="32"/>
  <c r="U6" i="32"/>
  <c r="U38" i="32"/>
  <c r="U48" i="32"/>
  <c r="U28" i="32"/>
  <c r="U14" i="32"/>
  <c r="U51" i="32"/>
  <c r="U54" i="32"/>
  <c r="U18" i="32"/>
  <c r="AG85" i="32"/>
  <c r="V85" i="32" s="1"/>
  <c r="AG59" i="32"/>
  <c r="V59" i="32" s="1"/>
  <c r="AG3" i="32"/>
  <c r="V3" i="32" s="1"/>
  <c r="U20" i="32"/>
  <c r="U26" i="32"/>
  <c r="U5" i="32"/>
  <c r="AG83" i="32"/>
  <c r="V83" i="32" s="1"/>
  <c r="V14" i="32"/>
  <c r="AG31" i="32"/>
  <c r="V31" i="32" s="1"/>
  <c r="U31" i="32"/>
  <c r="U63" i="32"/>
  <c r="U82" i="32"/>
  <c r="U71" i="32"/>
  <c r="U8" i="32"/>
  <c r="U80" i="32"/>
  <c r="V36" i="32"/>
  <c r="U75" i="32"/>
  <c r="V39" i="32"/>
  <c r="U66" i="32"/>
  <c r="AG25" i="32"/>
  <c r="V25" i="32" s="1"/>
  <c r="U12" i="32"/>
  <c r="U47" i="32"/>
  <c r="U19" i="32"/>
  <c r="U55" i="32"/>
  <c r="U78" i="32"/>
  <c r="U29" i="32"/>
  <c r="V29" i="32"/>
  <c r="U16" i="32"/>
  <c r="U68" i="32"/>
  <c r="U70" i="32"/>
  <c r="U49" i="32"/>
  <c r="U44" i="32"/>
  <c r="U84" i="32"/>
  <c r="U42" i="32"/>
  <c r="U77" i="32"/>
  <c r="U61" i="32"/>
  <c r="U46" i="32"/>
  <c r="U74" i="32"/>
  <c r="W3" i="32"/>
  <c r="W15" i="32"/>
  <c r="AG79" i="32"/>
  <c r="V79" i="32" s="1"/>
  <c r="AG81" i="32"/>
  <c r="V81" i="32" s="1"/>
  <c r="U86" i="32"/>
  <c r="U57" i="32"/>
  <c r="AG58" i="32"/>
  <c r="V58" i="32" s="1"/>
  <c r="U34" i="32"/>
  <c r="U37" i="32"/>
  <c r="U21" i="32"/>
  <c r="AG9" i="32"/>
  <c r="V9" i="32" s="1"/>
  <c r="U45" i="32"/>
  <c r="U33" i="32"/>
  <c r="W14" i="32"/>
  <c r="W32" i="32"/>
  <c r="V4" i="32"/>
  <c r="U4" i="32"/>
  <c r="AG76" i="32"/>
  <c r="V76" i="32" s="1"/>
  <c r="U52" i="32"/>
  <c r="U36" i="32"/>
  <c r="U62" i="32"/>
  <c r="V28" i="32"/>
  <c r="V37" i="32"/>
  <c r="V18" i="32"/>
  <c r="V38" i="32"/>
  <c r="V20" i="32"/>
  <c r="V13" i="32"/>
  <c r="V19" i="32"/>
  <c r="H113" i="3"/>
  <c r="V16" i="32" l="1"/>
  <c r="V23" i="32"/>
  <c r="C37" i="32" s="1"/>
  <c r="X37" i="3" s="1"/>
  <c r="V15" i="32"/>
  <c r="V7" i="32"/>
  <c r="V22" i="32"/>
  <c r="V21" i="32"/>
  <c r="V5" i="32"/>
  <c r="V33" i="32"/>
  <c r="V10" i="32"/>
  <c r="V8" i="32"/>
  <c r="V27" i="32"/>
  <c r="V32" i="32"/>
  <c r="V41" i="32"/>
  <c r="V42" i="32"/>
  <c r="BR6" i="3"/>
  <c r="BS26" i="3" s="1"/>
  <c r="C143" i="32"/>
  <c r="X143" i="3" s="1"/>
  <c r="C53" i="32"/>
  <c r="Y53" i="3" s="1"/>
  <c r="C125" i="32"/>
  <c r="Y125" i="3" s="1"/>
  <c r="C56" i="32"/>
  <c r="X56" i="3" s="1"/>
  <c r="C7" i="32"/>
  <c r="X7" i="3" s="1"/>
  <c r="C81" i="32"/>
  <c r="X81" i="3" s="1"/>
  <c r="C116" i="32"/>
  <c r="X116" i="3" s="1"/>
  <c r="C108" i="32"/>
  <c r="Y108" i="3" s="1"/>
  <c r="C49" i="32"/>
  <c r="X49" i="3" s="1"/>
  <c r="C25" i="32"/>
  <c r="X25" i="3" s="1"/>
  <c r="C138" i="32"/>
  <c r="Y138" i="3" s="1"/>
  <c r="C61" i="32"/>
  <c r="X61" i="3" s="1"/>
  <c r="C105" i="32"/>
  <c r="X105" i="3" s="1"/>
  <c r="C95" i="32"/>
  <c r="X95" i="3" s="1"/>
  <c r="C17" i="32"/>
  <c r="X17" i="3" s="1"/>
  <c r="C65" i="32"/>
  <c r="Y65" i="3" s="1"/>
  <c r="C29" i="32"/>
  <c r="Y29" i="3" s="1"/>
  <c r="C115" i="32"/>
  <c r="Y115" i="3" s="1"/>
  <c r="C110" i="32"/>
  <c r="X110" i="3" s="1"/>
  <c r="C79" i="32"/>
  <c r="Y79" i="3" s="1"/>
  <c r="C6" i="32"/>
  <c r="X6" i="3" s="1"/>
  <c r="C31" i="32"/>
  <c r="Y31" i="3" s="1"/>
  <c r="C94" i="32"/>
  <c r="X94" i="3" s="1"/>
  <c r="C103" i="32"/>
  <c r="X103" i="3" s="1"/>
  <c r="C14" i="32"/>
  <c r="X14" i="3" s="1"/>
  <c r="C38" i="32"/>
  <c r="Y38" i="3" s="1"/>
  <c r="C20" i="32"/>
  <c r="Y20" i="3" s="1"/>
  <c r="C45" i="32"/>
  <c r="X45" i="3" s="1"/>
  <c r="C86" i="32"/>
  <c r="X86" i="3" s="1"/>
  <c r="C139" i="32"/>
  <c r="X139" i="3" s="1"/>
  <c r="C12" i="32"/>
  <c r="X12" i="3" s="1"/>
  <c r="C92" i="32"/>
  <c r="X92" i="3" s="1"/>
  <c r="C78" i="32"/>
  <c r="Y78" i="3" s="1"/>
  <c r="C113" i="32"/>
  <c r="X113" i="3" s="1"/>
  <c r="C21" i="32"/>
  <c r="X21" i="3" s="1"/>
  <c r="C16" i="32"/>
  <c r="X16" i="3" s="1"/>
  <c r="C23" i="32"/>
  <c r="X23" i="3" s="1"/>
  <c r="C64" i="32"/>
  <c r="Y64" i="3" s="1"/>
  <c r="C9" i="32"/>
  <c r="X9" i="3" s="1"/>
  <c r="C13" i="32"/>
  <c r="Y13" i="3" s="1"/>
  <c r="C62" i="32"/>
  <c r="Y62" i="3" s="1"/>
  <c r="C33" i="32"/>
  <c r="X33" i="3" s="1"/>
  <c r="C28" i="32"/>
  <c r="X28" i="3" s="1"/>
  <c r="C55" i="32"/>
  <c r="Y55" i="3" s="1"/>
  <c r="C85" i="32"/>
  <c r="X85" i="3" s="1"/>
  <c r="C106" i="32"/>
  <c r="Y106" i="3" s="1"/>
  <c r="C93" i="32"/>
  <c r="Y93" i="3" s="1"/>
  <c r="C69" i="32"/>
  <c r="Y69" i="3" s="1"/>
  <c r="C54" i="32"/>
  <c r="Y54" i="3" s="1"/>
  <c r="C5" i="32"/>
  <c r="Y5" i="3" s="1"/>
  <c r="C101" i="32"/>
  <c r="Y101" i="3" s="1"/>
  <c r="C84" i="32"/>
  <c r="X84" i="3" s="1"/>
  <c r="C88" i="32"/>
  <c r="X88" i="3" s="1"/>
  <c r="C60" i="32"/>
  <c r="Y60" i="3" s="1"/>
  <c r="C120" i="32"/>
  <c r="X120" i="3" s="1"/>
  <c r="C134" i="32"/>
  <c r="Y134" i="3" s="1"/>
  <c r="C41" i="32"/>
  <c r="X41" i="3" s="1"/>
  <c r="V26" i="32"/>
  <c r="V30" i="32"/>
  <c r="AY101" i="3"/>
  <c r="AK99" i="3"/>
  <c r="C127" i="32" l="1"/>
  <c r="X127" i="3" s="1"/>
  <c r="C4" i="32"/>
  <c r="X4" i="3" s="1"/>
  <c r="C114" i="32"/>
  <c r="X114" i="3" s="1"/>
  <c r="C102" i="32"/>
  <c r="X102" i="3" s="1"/>
  <c r="C57" i="32"/>
  <c r="Y57" i="3" s="1"/>
  <c r="C122" i="32"/>
  <c r="Y122" i="3" s="1"/>
  <c r="C48" i="32"/>
  <c r="Y48" i="3" s="1"/>
  <c r="C124" i="32"/>
  <c r="Y124" i="3" s="1"/>
  <c r="C121" i="32"/>
  <c r="X121" i="3" s="1"/>
  <c r="C133" i="32"/>
  <c r="X133" i="3" s="1"/>
  <c r="C63" i="32"/>
  <c r="Y63" i="3" s="1"/>
  <c r="C68" i="32"/>
  <c r="Y68" i="3" s="1"/>
  <c r="C32" i="32"/>
  <c r="Y32" i="3" s="1"/>
  <c r="C30" i="32"/>
  <c r="X30" i="3" s="1"/>
  <c r="C107" i="32"/>
  <c r="Y107" i="3" s="1"/>
  <c r="C72" i="32"/>
  <c r="X72" i="3" s="1"/>
  <c r="C22" i="32"/>
  <c r="X22" i="3" s="1"/>
  <c r="C123" i="32"/>
  <c r="Y123" i="3" s="1"/>
  <c r="C24" i="32"/>
  <c r="Y24" i="3" s="1"/>
  <c r="C89" i="32"/>
  <c r="Y89" i="3" s="1"/>
  <c r="C112" i="32"/>
  <c r="X112" i="3" s="1"/>
  <c r="C46" i="32"/>
  <c r="X46" i="3" s="1"/>
  <c r="C8" i="32"/>
  <c r="X8" i="3" s="1"/>
  <c r="C36" i="32"/>
  <c r="X36" i="3" s="1"/>
  <c r="C47" i="32"/>
  <c r="Y47" i="3" s="1"/>
  <c r="C76" i="32"/>
  <c r="X76" i="3" s="1"/>
  <c r="C104" i="32"/>
  <c r="X104" i="3" s="1"/>
  <c r="C132" i="32"/>
  <c r="Y132" i="3" s="1"/>
  <c r="C111" i="32"/>
  <c r="Y111" i="3" s="1"/>
  <c r="C126" i="32"/>
  <c r="Y126" i="3" s="1"/>
  <c r="C15" i="32"/>
  <c r="Y15" i="3" s="1"/>
  <c r="C52" i="32"/>
  <c r="Y52" i="3" s="1"/>
  <c r="C131" i="32"/>
  <c r="Y131" i="3" s="1"/>
  <c r="C44" i="32"/>
  <c r="Y44" i="3" s="1"/>
  <c r="C147" i="32"/>
  <c r="X147" i="3" s="1"/>
  <c r="C71" i="32"/>
  <c r="Y71" i="3" s="1"/>
  <c r="C39" i="32"/>
  <c r="X39" i="3" s="1"/>
  <c r="C97" i="32"/>
  <c r="Y97" i="3" s="1"/>
  <c r="C80" i="32"/>
  <c r="Y80" i="3" s="1"/>
  <c r="C73" i="32"/>
  <c r="X73" i="3" s="1"/>
  <c r="C77" i="32"/>
  <c r="X77" i="3" s="1"/>
  <c r="C87" i="32"/>
  <c r="X87" i="3" s="1"/>
  <c r="C109" i="32"/>
  <c r="X109" i="3" s="1"/>
  <c r="C40" i="32"/>
  <c r="Y40" i="3" s="1"/>
  <c r="C70" i="32"/>
  <c r="Y70" i="3" s="1"/>
  <c r="C96" i="32"/>
  <c r="X96" i="3" s="1"/>
  <c r="BS47" i="3"/>
  <c r="BS17" i="3"/>
  <c r="BS50" i="3"/>
  <c r="BS28" i="3"/>
  <c r="BS21" i="3"/>
  <c r="BS15" i="3"/>
  <c r="BS34" i="3"/>
  <c r="BS48" i="3"/>
  <c r="BS31" i="3"/>
  <c r="BS29" i="3"/>
  <c r="BS40" i="3"/>
  <c r="BS23" i="3"/>
  <c r="BS12" i="3"/>
  <c r="BS8" i="3"/>
  <c r="BS39" i="3"/>
  <c r="BS35" i="3"/>
  <c r="BS27" i="3"/>
  <c r="BS10" i="3"/>
  <c r="BS44" i="3"/>
  <c r="BS52" i="3"/>
  <c r="BS16" i="3"/>
  <c r="BS14" i="3"/>
  <c r="BS25" i="3"/>
  <c r="BS22" i="3"/>
  <c r="BS19" i="3"/>
  <c r="BS18" i="3"/>
  <c r="BS42" i="3"/>
  <c r="BS46" i="3"/>
  <c r="BS38" i="3"/>
  <c r="BS36" i="3"/>
  <c r="BS51" i="3"/>
  <c r="BS45" i="3"/>
  <c r="BS43" i="3"/>
  <c r="BS32" i="3"/>
  <c r="BS11" i="3"/>
  <c r="BS13" i="3"/>
  <c r="BS33" i="3"/>
  <c r="BS7" i="3"/>
  <c r="BS30" i="3"/>
  <c r="BS53" i="3"/>
  <c r="BS37" i="3"/>
  <c r="BS41" i="3"/>
  <c r="BS6" i="3"/>
  <c r="BS20" i="3"/>
  <c r="BS9" i="3"/>
  <c r="BS49" i="3"/>
  <c r="BS24" i="3"/>
  <c r="Y37" i="3"/>
  <c r="Y22" i="3"/>
  <c r="Y105" i="3"/>
  <c r="X29" i="3"/>
  <c r="X31" i="3"/>
  <c r="Y81" i="3"/>
  <c r="Y95" i="3"/>
  <c r="Y49" i="3"/>
  <c r="X108" i="3"/>
  <c r="Y14" i="3"/>
  <c r="X53" i="3"/>
  <c r="X115" i="3"/>
  <c r="Y76" i="3"/>
  <c r="Y116" i="3"/>
  <c r="X131" i="3"/>
  <c r="Y104" i="3"/>
  <c r="X24" i="3"/>
  <c r="X125" i="3"/>
  <c r="Y121" i="3"/>
  <c r="Y61" i="3"/>
  <c r="X38" i="3"/>
  <c r="X89" i="3"/>
  <c r="X65" i="3"/>
  <c r="Y25" i="3"/>
  <c r="Y17" i="3"/>
  <c r="X48" i="3"/>
  <c r="X123" i="3"/>
  <c r="Y143" i="3"/>
  <c r="Y7" i="3"/>
  <c r="Y133" i="3"/>
  <c r="X122" i="3"/>
  <c r="Y113" i="3"/>
  <c r="Y56" i="3"/>
  <c r="Y9" i="3"/>
  <c r="X138" i="3"/>
  <c r="X47" i="3"/>
  <c r="X62" i="3"/>
  <c r="X106" i="3"/>
  <c r="Y21" i="3"/>
  <c r="X78" i="3"/>
  <c r="Y103" i="3"/>
  <c r="X101" i="3"/>
  <c r="Y28" i="3"/>
  <c r="Y110" i="3"/>
  <c r="Y94" i="3"/>
  <c r="Y16" i="3"/>
  <c r="X79" i="3"/>
  <c r="X44" i="3"/>
  <c r="X55" i="3"/>
  <c r="Y86" i="3"/>
  <c r="Y4" i="3"/>
  <c r="Y45" i="3"/>
  <c r="Y92" i="3"/>
  <c r="Y85" i="3"/>
  <c r="X13" i="3"/>
  <c r="Y6" i="3"/>
  <c r="X68" i="3"/>
  <c r="X63" i="3"/>
  <c r="X64" i="3"/>
  <c r="Y120" i="3"/>
  <c r="X5" i="3"/>
  <c r="X20" i="3"/>
  <c r="Y23" i="3"/>
  <c r="Y139" i="3"/>
  <c r="Y127" i="3"/>
  <c r="Y114" i="3"/>
  <c r="Y41" i="3"/>
  <c r="X57" i="3"/>
  <c r="X134" i="3"/>
  <c r="X54" i="3"/>
  <c r="Y12" i="3"/>
  <c r="Y88" i="3"/>
  <c r="X93" i="3"/>
  <c r="Y84" i="3"/>
  <c r="X60" i="3"/>
  <c r="Y33" i="3"/>
  <c r="X69" i="3"/>
  <c r="Y102" i="3" l="1"/>
  <c r="X124" i="3"/>
  <c r="X111" i="3"/>
  <c r="Y112" i="3"/>
  <c r="Y30" i="3"/>
  <c r="X126" i="3"/>
  <c r="X32" i="3"/>
  <c r="Y77" i="3"/>
  <c r="Y36" i="3"/>
  <c r="Y46" i="3"/>
  <c r="Y72" i="3"/>
  <c r="X97" i="3"/>
  <c r="Y96" i="3"/>
  <c r="X80" i="3"/>
  <c r="X107" i="3"/>
  <c r="X52" i="3"/>
  <c r="Y8" i="3"/>
  <c r="X15" i="3"/>
  <c r="X132" i="3"/>
  <c r="X71" i="3"/>
  <c r="Y39" i="3"/>
  <c r="Y147" i="3"/>
  <c r="X40" i="3"/>
  <c r="Y109" i="3"/>
  <c r="Y87" i="3"/>
  <c r="Y73" i="3"/>
  <c r="X70" i="3"/>
  <c r="BT15" i="3"/>
  <c r="BT50" i="3"/>
  <c r="BT19" i="3"/>
  <c r="F31" i="3" s="1"/>
  <c r="BT40" i="3"/>
  <c r="BT25" i="3"/>
  <c r="BT38" i="3"/>
  <c r="BT33" i="3"/>
  <c r="F53" i="3" s="1"/>
  <c r="BT36" i="3"/>
  <c r="BT41" i="3"/>
  <c r="BT49" i="3"/>
  <c r="BT29" i="3"/>
  <c r="BT8" i="3"/>
  <c r="BT44" i="3"/>
  <c r="BT27" i="3"/>
  <c r="BT16" i="3"/>
  <c r="BT39" i="3"/>
  <c r="BT9" i="3"/>
  <c r="BT23" i="3"/>
  <c r="BT53" i="3"/>
  <c r="BT43" i="3"/>
  <c r="BT26" i="3"/>
  <c r="BT42" i="3"/>
  <c r="BT21" i="3"/>
  <c r="BT10" i="3"/>
  <c r="BT6" i="3"/>
  <c r="BT51" i="3"/>
  <c r="BT52" i="3"/>
  <c r="BT32" i="3"/>
  <c r="E53" i="3" s="1"/>
  <c r="BT18" i="3"/>
  <c r="BT34" i="3"/>
  <c r="BT22" i="3"/>
  <c r="BT7" i="3"/>
  <c r="BT12" i="3"/>
  <c r="BT28" i="3"/>
  <c r="BT24" i="3"/>
  <c r="BT11" i="3"/>
  <c r="BT48" i="3"/>
  <c r="BT37" i="3"/>
  <c r="BT47" i="3"/>
  <c r="BT30" i="3"/>
  <c r="E54" i="3" s="1"/>
  <c r="BT17" i="3"/>
  <c r="BT14" i="3"/>
  <c r="BT45" i="3"/>
  <c r="BT13" i="3"/>
  <c r="BT35" i="3"/>
  <c r="BT46" i="3"/>
  <c r="BT31" i="3"/>
  <c r="E56" i="3" s="1"/>
  <c r="BT20" i="3"/>
  <c r="F56" i="3" l="1"/>
  <c r="F54" i="3"/>
  <c r="E25" i="3"/>
  <c r="F20" i="3"/>
  <c r="F22" i="3"/>
  <c r="E92" i="3"/>
  <c r="BW51" i="3" s="1"/>
  <c r="BU40" i="3"/>
  <c r="F73" i="3"/>
  <c r="BU39" i="3" s="1"/>
  <c r="F96" i="3"/>
  <c r="E94" i="3"/>
  <c r="BW52" i="3" s="1"/>
  <c r="E69" i="3"/>
  <c r="BW41" i="3" s="1"/>
  <c r="E33" i="3"/>
  <c r="F70" i="3"/>
  <c r="F28" i="3"/>
  <c r="BW40" i="3"/>
  <c r="F24" i="3"/>
  <c r="E23" i="3"/>
  <c r="E20" i="3"/>
  <c r="E96" i="3"/>
  <c r="BW50" i="3" s="1"/>
  <c r="F93" i="3"/>
  <c r="E95" i="3"/>
  <c r="BU51" i="3" s="1"/>
  <c r="BU53" i="3"/>
  <c r="E47" i="3"/>
  <c r="E49" i="3"/>
  <c r="F45" i="3"/>
  <c r="E37" i="3"/>
  <c r="BW25" i="3" s="1"/>
  <c r="F40" i="3"/>
  <c r="BU23" i="3" s="1"/>
  <c r="BW24" i="3"/>
  <c r="F38" i="3"/>
  <c r="F32" i="3"/>
  <c r="BU21" i="3" s="1"/>
  <c r="E28" i="3"/>
  <c r="E30" i="3"/>
  <c r="F63" i="3"/>
  <c r="E64" i="3"/>
  <c r="F60" i="3"/>
  <c r="BV32" i="3"/>
  <c r="BW32" i="3"/>
  <c r="BU32" i="3"/>
  <c r="E89" i="3"/>
  <c r="F84" i="3"/>
  <c r="F87" i="3"/>
  <c r="F97" i="3"/>
  <c r="F94" i="3"/>
  <c r="E93" i="3"/>
  <c r="E6" i="3"/>
  <c r="E8" i="3"/>
  <c r="F5" i="3"/>
  <c r="F89" i="3"/>
  <c r="BU47" i="3" s="1"/>
  <c r="F86" i="3"/>
  <c r="E85" i="3"/>
  <c r="E5" i="3"/>
  <c r="F7" i="3"/>
  <c r="F9" i="3"/>
  <c r="E15" i="3"/>
  <c r="E12" i="3"/>
  <c r="F16" i="3"/>
  <c r="E31" i="3"/>
  <c r="E32" i="3"/>
  <c r="BW18" i="3" s="1"/>
  <c r="F29" i="3"/>
  <c r="BU20" i="3" s="1"/>
  <c r="F57" i="3"/>
  <c r="E52" i="3"/>
  <c r="F39" i="3"/>
  <c r="F36" i="3"/>
  <c r="BU22" i="3" s="1"/>
  <c r="E40" i="3"/>
  <c r="F48" i="3"/>
  <c r="BU27" i="3" s="1"/>
  <c r="BU28" i="3"/>
  <c r="F46" i="3"/>
  <c r="BW28" i="3"/>
  <c r="E45" i="3"/>
  <c r="BW29" i="3" s="1"/>
  <c r="F92" i="3"/>
  <c r="F95" i="3"/>
  <c r="BW53" i="3" s="1"/>
  <c r="E97" i="3"/>
  <c r="BV52" i="3" s="1"/>
  <c r="F81" i="3"/>
  <c r="E76" i="3"/>
  <c r="E78" i="3"/>
  <c r="BW44" i="3" s="1"/>
  <c r="E48" i="3"/>
  <c r="F44" i="3"/>
  <c r="F47" i="3"/>
  <c r="E38" i="3"/>
  <c r="BW22" i="3"/>
  <c r="F41" i="3"/>
  <c r="BU25" i="3" s="1"/>
  <c r="E36" i="3"/>
  <c r="BW23" i="3" s="1"/>
  <c r="E39" i="3"/>
  <c r="F37" i="3"/>
  <c r="BU24" i="3" s="1"/>
  <c r="E41" i="3"/>
  <c r="BU34" i="3"/>
  <c r="BW34" i="3"/>
  <c r="E62" i="3"/>
  <c r="E60" i="3"/>
  <c r="BW35" i="3" s="1"/>
  <c r="F65" i="3"/>
  <c r="BU37" i="3" s="1"/>
  <c r="E87" i="3"/>
  <c r="E88" i="3"/>
  <c r="BW46" i="3" s="1"/>
  <c r="F85" i="3"/>
  <c r="BU48" i="3" s="1"/>
  <c r="E14" i="3"/>
  <c r="F13" i="3"/>
  <c r="BU12" i="3" s="1"/>
  <c r="E16" i="3"/>
  <c r="BW10" i="3" s="1"/>
  <c r="F17" i="3"/>
  <c r="BU11" i="3" s="1"/>
  <c r="F15" i="3"/>
  <c r="E13" i="3"/>
  <c r="BW13" i="3" s="1"/>
  <c r="E4" i="3"/>
  <c r="E7" i="3"/>
  <c r="F8" i="3"/>
  <c r="BU26" i="3"/>
  <c r="E44" i="3"/>
  <c r="BW27" i="3" s="1"/>
  <c r="E46" i="3"/>
  <c r="BW26" i="3"/>
  <c r="F49" i="3"/>
  <c r="BU29" i="3" s="1"/>
  <c r="E73" i="3"/>
  <c r="F68" i="3"/>
  <c r="F71" i="3"/>
  <c r="E71" i="3"/>
  <c r="E72" i="3"/>
  <c r="F69" i="3"/>
  <c r="E55" i="3"/>
  <c r="E57" i="3"/>
  <c r="F55" i="3"/>
  <c r="BU33" i="3" s="1"/>
  <c r="BU31" i="3"/>
  <c r="F52" i="3"/>
  <c r="BU30" i="3" s="1"/>
  <c r="F25" i="3"/>
  <c r="BW15" i="3" s="1"/>
  <c r="E21" i="3"/>
  <c r="BU17" i="3" s="1"/>
  <c r="F23" i="3"/>
  <c r="E84" i="3"/>
  <c r="F88" i="3"/>
  <c r="E86" i="3"/>
  <c r="E17" i="3"/>
  <c r="F14" i="3"/>
  <c r="F12" i="3"/>
  <c r="E22" i="3"/>
  <c r="E24" i="3"/>
  <c r="F21" i="3"/>
  <c r="BU16" i="3" s="1"/>
  <c r="E29" i="3"/>
  <c r="BW21" i="3" s="1"/>
  <c r="F30" i="3"/>
  <c r="F33" i="3"/>
  <c r="BU19" i="3" s="1"/>
  <c r="BW45" i="3"/>
  <c r="BU45" i="3"/>
  <c r="E81" i="3"/>
  <c r="E79" i="3"/>
  <c r="F77" i="3"/>
  <c r="F61" i="3"/>
  <c r="E65" i="3"/>
  <c r="E63" i="3"/>
  <c r="E9" i="3"/>
  <c r="F4" i="3"/>
  <c r="F6" i="3"/>
  <c r="F79" i="3"/>
  <c r="BW43" i="3"/>
  <c r="E80" i="3"/>
  <c r="BU43" i="3"/>
  <c r="F76" i="3"/>
  <c r="BW42" i="3" s="1"/>
  <c r="F80" i="3"/>
  <c r="E77" i="3"/>
  <c r="F78" i="3"/>
  <c r="BU42" i="3" s="1"/>
  <c r="BU44" i="3"/>
  <c r="BW36" i="3"/>
  <c r="E61" i="3"/>
  <c r="BW37" i="3" s="1"/>
  <c r="F62" i="3"/>
  <c r="BU36" i="3"/>
  <c r="F64" i="3"/>
  <c r="BU35" i="3" s="1"/>
  <c r="F72" i="3"/>
  <c r="BU41" i="3" s="1"/>
  <c r="E68" i="3"/>
  <c r="BW39" i="3" s="1"/>
  <c r="BW38" i="3"/>
  <c r="BU38" i="3"/>
  <c r="E70" i="3"/>
  <c r="BV50" i="3" l="1"/>
  <c r="BV51" i="3"/>
  <c r="BV53" i="3"/>
  <c r="BV30" i="3"/>
  <c r="BX30" i="3" s="1"/>
  <c r="BV45" i="3"/>
  <c r="BX45" i="3" s="1"/>
  <c r="BV44" i="3"/>
  <c r="BX44" i="3" s="1"/>
  <c r="BV46" i="3"/>
  <c r="BV49" i="3"/>
  <c r="BV43" i="3"/>
  <c r="BX43" i="3" s="1"/>
  <c r="BV48" i="3"/>
  <c r="BX48" i="3" s="1"/>
  <c r="BV47" i="3"/>
  <c r="BX47" i="3" s="1"/>
  <c r="BV42" i="3"/>
  <c r="BX42" i="3" s="1"/>
  <c r="BV31" i="3"/>
  <c r="BX31" i="3" s="1"/>
  <c r="BV18" i="3"/>
  <c r="BV33" i="3"/>
  <c r="BX33" i="3" s="1"/>
  <c r="BV13" i="3"/>
  <c r="BV20" i="3"/>
  <c r="BX20" i="3" s="1"/>
  <c r="BV17" i="3"/>
  <c r="BX17" i="3" s="1"/>
  <c r="BV19" i="3"/>
  <c r="BX19" i="3" s="1"/>
  <c r="BV21" i="3"/>
  <c r="BX21" i="3" s="1"/>
  <c r="BV11" i="3"/>
  <c r="BX11" i="3" s="1"/>
  <c r="BV15" i="3"/>
  <c r="BV14" i="3"/>
  <c r="BV16" i="3"/>
  <c r="BX16" i="3" s="1"/>
  <c r="BV12" i="3"/>
  <c r="BX12" i="3" s="1"/>
  <c r="BV10" i="3"/>
  <c r="BV7" i="3"/>
  <c r="BU8" i="3"/>
  <c r="BU7" i="3"/>
  <c r="BW6" i="3"/>
  <c r="BU46" i="3"/>
  <c r="BW48" i="3"/>
  <c r="BW17" i="3"/>
  <c r="BW33" i="3"/>
  <c r="BU49" i="3"/>
  <c r="BU52" i="3"/>
  <c r="BX52" i="3" s="1"/>
  <c r="BU50" i="3"/>
  <c r="BU18" i="3"/>
  <c r="BX18" i="3" s="1"/>
  <c r="BV26" i="3"/>
  <c r="BX26" i="3" s="1"/>
  <c r="BV38" i="3"/>
  <c r="BX38" i="3" s="1"/>
  <c r="BV36" i="3"/>
  <c r="BX36" i="3" s="1"/>
  <c r="BV40" i="3"/>
  <c r="BX40" i="3" s="1"/>
  <c r="BV41" i="3"/>
  <c r="BX41" i="3" s="1"/>
  <c r="BV39" i="3"/>
  <c r="BX39" i="3" s="1"/>
  <c r="BV34" i="3"/>
  <c r="BX34" i="3" s="1"/>
  <c r="BV37" i="3"/>
  <c r="BX37" i="3" s="1"/>
  <c r="BV35" i="3"/>
  <c r="BX35" i="3" s="1"/>
  <c r="BW30" i="3"/>
  <c r="BV29" i="3"/>
  <c r="BX29" i="3" s="1"/>
  <c r="BV28" i="3"/>
  <c r="BX28" i="3" s="1"/>
  <c r="BV27" i="3"/>
  <c r="BX27" i="3" s="1"/>
  <c r="BV22" i="3"/>
  <c r="BX22" i="3" s="1"/>
  <c r="BV23" i="3"/>
  <c r="BX23" i="3" s="1"/>
  <c r="BV24" i="3"/>
  <c r="BX24" i="3" s="1"/>
  <c r="BV25" i="3"/>
  <c r="BX25" i="3" s="1"/>
  <c r="BW20" i="3"/>
  <c r="BU10" i="3"/>
  <c r="BU13" i="3"/>
  <c r="BW11" i="3"/>
  <c r="BW14" i="3"/>
  <c r="BW19" i="3"/>
  <c r="BW12" i="3"/>
  <c r="BU15" i="3"/>
  <c r="BW16" i="3"/>
  <c r="BU14" i="3"/>
  <c r="BW7" i="3"/>
  <c r="BU6" i="3"/>
  <c r="BW8" i="3"/>
  <c r="BU9" i="3"/>
  <c r="BW9" i="3"/>
  <c r="BX53" i="3"/>
  <c r="BX51" i="3"/>
  <c r="BV9" i="3"/>
  <c r="BV8" i="3"/>
  <c r="BV6" i="3"/>
  <c r="BW49" i="3"/>
  <c r="BW31" i="3"/>
  <c r="BW47" i="3"/>
  <c r="BX32" i="3"/>
  <c r="BX50" i="3" l="1"/>
  <c r="BX46" i="3"/>
  <c r="BX15" i="3"/>
  <c r="BX13" i="3"/>
  <c r="BX49" i="3"/>
  <c r="BX7" i="3"/>
  <c r="BX10" i="3"/>
  <c r="BX14" i="3"/>
  <c r="BX8" i="3"/>
  <c r="BX6" i="3"/>
  <c r="BX9" i="3"/>
  <c r="BY52" i="3" l="1"/>
  <c r="BY29" i="3"/>
  <c r="BY10" i="3"/>
  <c r="BY23" i="3"/>
  <c r="BY34" i="3"/>
  <c r="BY12" i="3"/>
  <c r="BY53" i="3"/>
  <c r="BY51" i="3"/>
  <c r="BY25" i="3"/>
  <c r="BY19" i="3"/>
  <c r="BY30" i="3"/>
  <c r="BY8" i="3"/>
  <c r="BY44" i="3"/>
  <c r="BY39" i="3"/>
  <c r="BY36" i="3"/>
  <c r="BY38" i="3"/>
  <c r="BY22" i="3"/>
  <c r="BY45" i="3"/>
  <c r="BY40" i="3"/>
  <c r="BY27" i="3"/>
  <c r="BY47" i="3"/>
  <c r="BY20" i="3"/>
  <c r="BY31" i="3"/>
  <c r="BY11" i="3"/>
  <c r="BY35" i="3"/>
  <c r="BY14" i="3"/>
  <c r="BY32" i="3"/>
  <c r="BY43" i="3"/>
  <c r="BY48" i="3"/>
  <c r="BY41" i="3"/>
  <c r="BY37" i="3"/>
  <c r="BY50" i="3"/>
  <c r="BY17" i="3"/>
  <c r="BY42" i="3"/>
  <c r="BY7" i="3"/>
  <c r="BY33" i="3"/>
  <c r="BY24" i="3"/>
  <c r="BY28" i="3"/>
  <c r="BY26" i="3"/>
  <c r="BY15" i="3"/>
  <c r="BY6" i="3"/>
  <c r="BY21" i="3"/>
  <c r="BY49" i="3"/>
  <c r="BY9" i="3"/>
  <c r="BY46" i="3"/>
  <c r="BY16" i="3"/>
  <c r="BY18" i="3"/>
  <c r="BY13" i="3"/>
  <c r="BZ14" i="3" l="1"/>
  <c r="BZ18" i="3"/>
  <c r="H30" i="3" s="1"/>
  <c r="BZ16" i="3"/>
  <c r="I25" i="3" s="1"/>
  <c r="BZ49" i="3"/>
  <c r="I85" i="3" s="1"/>
  <c r="BZ51" i="3"/>
  <c r="H97" i="3" s="1"/>
  <c r="BZ22" i="3"/>
  <c r="H38" i="3" s="1"/>
  <c r="BZ8" i="3"/>
  <c r="I7" i="3" s="1"/>
  <c r="BZ29" i="3"/>
  <c r="H49" i="3" s="1"/>
  <c r="BZ15" i="3"/>
  <c r="BZ24" i="3"/>
  <c r="H37" i="3" s="1"/>
  <c r="BZ9" i="3"/>
  <c r="BZ17" i="3"/>
  <c r="H24" i="3" s="1"/>
  <c r="BZ40" i="3"/>
  <c r="I73" i="3" s="1"/>
  <c r="BZ20" i="3"/>
  <c r="I30" i="3" s="1"/>
  <c r="BZ44" i="3"/>
  <c r="I80" i="3" s="1"/>
  <c r="BZ35" i="3"/>
  <c r="I60" i="3" s="1"/>
  <c r="BZ42" i="3"/>
  <c r="H76" i="3" s="1"/>
  <c r="BZ41" i="3"/>
  <c r="I69" i="3" s="1"/>
  <c r="BZ47" i="3"/>
  <c r="I84" i="3" s="1"/>
  <c r="BZ31" i="3"/>
  <c r="H56" i="3" s="1"/>
  <c r="BZ33" i="3"/>
  <c r="I53" i="3" s="1"/>
  <c r="BZ10" i="3"/>
  <c r="I16" i="3" s="1"/>
  <c r="BZ38" i="3"/>
  <c r="I72" i="3" s="1"/>
  <c r="BZ45" i="3"/>
  <c r="I77" i="3" s="1"/>
  <c r="BZ12" i="3"/>
  <c r="I17" i="3" s="1"/>
  <c r="BZ52" i="3"/>
  <c r="H93" i="3" s="1"/>
  <c r="BZ28" i="3"/>
  <c r="I46" i="3" s="1"/>
  <c r="BZ46" i="3"/>
  <c r="I88" i="3" s="1"/>
  <c r="BZ13" i="3"/>
  <c r="I13" i="3" s="1"/>
  <c r="BZ48" i="3"/>
  <c r="H85" i="3" s="1"/>
  <c r="BZ19" i="3"/>
  <c r="H33" i="3" s="1"/>
  <c r="BZ32" i="3"/>
  <c r="H53" i="3" s="1"/>
  <c r="BZ53" i="3"/>
  <c r="H95" i="3" s="1"/>
  <c r="BZ30" i="3"/>
  <c r="H54" i="3" s="1"/>
  <c r="BZ25" i="3"/>
  <c r="H41" i="3" s="1"/>
  <c r="BZ43" i="3"/>
  <c r="I79" i="3" s="1"/>
  <c r="BZ34" i="3"/>
  <c r="H62" i="3" s="1"/>
  <c r="BZ11" i="3"/>
  <c r="H17" i="3" s="1"/>
  <c r="BZ6" i="3"/>
  <c r="I8" i="3" s="1"/>
  <c r="BZ39" i="3"/>
  <c r="I71" i="3" s="1"/>
  <c r="BZ36" i="3"/>
  <c r="H61" i="3" s="1"/>
  <c r="BZ7" i="3"/>
  <c r="H9" i="3" s="1"/>
  <c r="BZ37" i="3"/>
  <c r="I61" i="3" s="1"/>
  <c r="BZ21" i="3"/>
  <c r="I29" i="3" s="1"/>
  <c r="BZ27" i="3"/>
  <c r="I44" i="3" s="1"/>
  <c r="BZ23" i="3"/>
  <c r="I36" i="3" s="1"/>
  <c r="BZ50" i="3"/>
  <c r="H94" i="3" s="1"/>
  <c r="BZ26" i="3"/>
  <c r="H44" i="3" s="1"/>
  <c r="H21" i="3"/>
  <c r="I23" i="3"/>
  <c r="H25" i="3"/>
  <c r="I22" i="3"/>
  <c r="I20" i="3"/>
  <c r="H8" i="3"/>
  <c r="H6" i="3"/>
  <c r="I5" i="3"/>
  <c r="H78" i="3"/>
  <c r="I24" i="3"/>
  <c r="H23" i="3"/>
  <c r="H20" i="3"/>
  <c r="H87" i="3" l="1"/>
  <c r="H88" i="3"/>
  <c r="H28" i="3"/>
  <c r="I32" i="3"/>
  <c r="H13" i="3"/>
  <c r="I15" i="3"/>
  <c r="I64" i="3"/>
  <c r="I81" i="3"/>
  <c r="I62" i="3"/>
  <c r="I93" i="3"/>
  <c r="CB52" i="3" s="1"/>
  <c r="H96" i="3"/>
  <c r="I38" i="3"/>
  <c r="CB22" i="3" s="1"/>
  <c r="I40" i="3"/>
  <c r="I97" i="3"/>
  <c r="H72" i="3"/>
  <c r="CB20" i="3"/>
  <c r="I92" i="3"/>
  <c r="H71" i="3"/>
  <c r="I70" i="3"/>
  <c r="H45" i="3"/>
  <c r="I48" i="3"/>
  <c r="H89" i="3"/>
  <c r="I37" i="3"/>
  <c r="I87" i="3"/>
  <c r="CA49" i="3" s="1"/>
  <c r="H39" i="3"/>
  <c r="H29" i="3"/>
  <c r="I41" i="3"/>
  <c r="I89" i="3"/>
  <c r="H77" i="3"/>
  <c r="I86" i="3"/>
  <c r="CA46" i="3" s="1"/>
  <c r="H40" i="3"/>
  <c r="I14" i="3"/>
  <c r="CA13" i="3" s="1"/>
  <c r="H12" i="3"/>
  <c r="I33" i="3"/>
  <c r="CB19" i="3" s="1"/>
  <c r="I94" i="3"/>
  <c r="I12" i="3"/>
  <c r="H15" i="3"/>
  <c r="CB12" i="3" s="1"/>
  <c r="CA20" i="3"/>
  <c r="H36" i="3"/>
  <c r="H55" i="3"/>
  <c r="H60" i="3"/>
  <c r="I57" i="3"/>
  <c r="I95" i="3"/>
  <c r="H63" i="3"/>
  <c r="I4" i="3"/>
  <c r="CA6" i="3" s="1"/>
  <c r="I39" i="3"/>
  <c r="H7" i="3"/>
  <c r="CB8" i="3" s="1"/>
  <c r="H16" i="3"/>
  <c r="H31" i="3"/>
  <c r="I6" i="3"/>
  <c r="H52" i="3"/>
  <c r="H69" i="3"/>
  <c r="CB41" i="3" s="1"/>
  <c r="H22" i="3"/>
  <c r="CB15" i="3" s="1"/>
  <c r="H4" i="3"/>
  <c r="H68" i="3"/>
  <c r="H5" i="3"/>
  <c r="I96" i="3"/>
  <c r="I78" i="3"/>
  <c r="I9" i="3"/>
  <c r="H92" i="3"/>
  <c r="H70" i="3"/>
  <c r="I31" i="3"/>
  <c r="I28" i="3"/>
  <c r="H65" i="3"/>
  <c r="H14" i="3"/>
  <c r="H48" i="3"/>
  <c r="I68" i="3"/>
  <c r="I45" i="3"/>
  <c r="CA32" i="3"/>
  <c r="H79" i="3"/>
  <c r="CA43" i="3" s="1"/>
  <c r="I63" i="3"/>
  <c r="H81" i="3"/>
  <c r="CB32" i="3"/>
  <c r="H47" i="3"/>
  <c r="I54" i="3"/>
  <c r="I49" i="3"/>
  <c r="H64" i="3"/>
  <c r="CA36" i="3" s="1"/>
  <c r="I56" i="3"/>
  <c r="I47" i="3"/>
  <c r="I65" i="3"/>
  <c r="H73" i="3"/>
  <c r="H46" i="3"/>
  <c r="H57" i="3"/>
  <c r="H32" i="3"/>
  <c r="H80" i="3"/>
  <c r="CB44" i="3" s="1"/>
  <c r="CA17" i="3"/>
  <c r="I76" i="3"/>
  <c r="I52" i="3"/>
  <c r="H86" i="3"/>
  <c r="I55" i="3"/>
  <c r="H84" i="3"/>
  <c r="I21" i="3"/>
  <c r="CA16" i="3" s="1"/>
  <c r="CB26" i="3"/>
  <c r="CB17" i="3"/>
  <c r="CA26" i="3"/>
  <c r="CB14" i="3"/>
  <c r="CA14" i="3"/>
  <c r="CB53" i="3" l="1"/>
  <c r="CA45" i="3"/>
  <c r="CB45" i="3"/>
  <c r="CB46" i="3"/>
  <c r="CC46" i="3" s="1"/>
  <c r="CB18" i="3"/>
  <c r="CA50" i="3"/>
  <c r="CB34" i="3"/>
  <c r="CB43" i="3"/>
  <c r="CC43" i="3" s="1"/>
  <c r="CA53" i="3"/>
  <c r="CC53" i="3" s="1"/>
  <c r="CA52" i="3"/>
  <c r="CC52" i="3" s="1"/>
  <c r="CB50" i="3"/>
  <c r="CB49" i="3"/>
  <c r="CC49" i="3" s="1"/>
  <c r="CA34" i="3"/>
  <c r="CA33" i="3"/>
  <c r="CA19" i="3"/>
  <c r="CC19" i="3" s="1"/>
  <c r="CB21" i="3"/>
  <c r="CA31" i="3"/>
  <c r="CA47" i="3"/>
  <c r="CB42" i="3"/>
  <c r="CB31" i="3"/>
  <c r="CB47" i="3"/>
  <c r="CA48" i="3"/>
  <c r="CB30" i="3"/>
  <c r="CB48" i="3"/>
  <c r="CA18" i="3"/>
  <c r="CA42" i="3"/>
  <c r="CA35" i="3"/>
  <c r="CB33" i="3"/>
  <c r="CB35" i="3"/>
  <c r="CA15" i="3"/>
  <c r="CC15" i="3" s="1"/>
  <c r="CA44" i="3"/>
  <c r="CC44" i="3" s="1"/>
  <c r="CC32" i="3"/>
  <c r="CA30" i="3"/>
  <c r="CA12" i="3"/>
  <c r="CC12" i="3" s="1"/>
  <c r="CB6" i="3"/>
  <c r="CC6" i="3" s="1"/>
  <c r="CB51" i="3"/>
  <c r="CA22" i="3"/>
  <c r="CC22" i="3" s="1"/>
  <c r="CB10" i="3"/>
  <c r="CC20" i="3"/>
  <c r="CA21" i="3"/>
  <c r="CB16" i="3"/>
  <c r="CC16" i="3" s="1"/>
  <c r="CC17" i="3"/>
  <c r="CA8" i="3"/>
  <c r="CC8" i="3" s="1"/>
  <c r="CB11" i="3"/>
  <c r="CB13" i="3"/>
  <c r="CC13" i="3" s="1"/>
  <c r="CA10" i="3"/>
  <c r="CA11" i="3"/>
  <c r="CA7" i="3"/>
  <c r="CB9" i="3"/>
  <c r="CA9" i="3"/>
  <c r="CB7" i="3"/>
  <c r="CB39" i="3"/>
  <c r="CB38" i="3"/>
  <c r="CA27" i="3"/>
  <c r="CA41" i="3"/>
  <c r="CC41" i="3" s="1"/>
  <c r="CB37" i="3"/>
  <c r="CA39" i="3"/>
  <c r="CA23" i="3"/>
  <c r="CA24" i="3"/>
  <c r="CB36" i="3"/>
  <c r="CC36" i="3" s="1"/>
  <c r="CA37" i="3"/>
  <c r="CA25" i="3"/>
  <c r="CA29" i="3"/>
  <c r="CA51" i="3"/>
  <c r="CA40" i="3"/>
  <c r="CB24" i="3"/>
  <c r="CB23" i="3"/>
  <c r="CB40" i="3"/>
  <c r="CB29" i="3"/>
  <c r="CB25" i="3"/>
  <c r="CA38" i="3"/>
  <c r="CB27" i="3"/>
  <c r="CA28" i="3"/>
  <c r="CB28" i="3"/>
  <c r="CC26" i="3"/>
  <c r="CC14" i="3"/>
  <c r="CC45" i="3" l="1"/>
  <c r="CC18" i="3"/>
  <c r="CC50" i="3"/>
  <c r="CC10" i="3"/>
  <c r="CC42" i="3"/>
  <c r="CC34" i="3"/>
  <c r="CC33" i="3"/>
  <c r="CC35" i="3"/>
  <c r="CC21" i="3"/>
  <c r="CC47" i="3"/>
  <c r="CC31" i="3"/>
  <c r="CC48" i="3"/>
  <c r="CC30" i="3"/>
  <c r="CC51" i="3"/>
  <c r="CC11" i="3"/>
  <c r="CC7" i="3"/>
  <c r="CC38" i="3"/>
  <c r="CC9" i="3"/>
  <c r="CC27" i="3"/>
  <c r="CC39" i="3"/>
  <c r="CC23" i="3"/>
  <c r="CC37" i="3"/>
  <c r="CC24" i="3"/>
  <c r="CC25" i="3"/>
  <c r="CC29" i="3"/>
  <c r="CC40" i="3"/>
  <c r="CC28" i="3"/>
  <c r="CD53" i="3" l="1"/>
  <c r="CD47" i="3"/>
  <c r="CD49" i="3"/>
  <c r="CD50" i="3"/>
  <c r="CD42" i="3"/>
  <c r="CD43" i="3"/>
  <c r="CD33" i="3"/>
  <c r="CD30" i="3"/>
  <c r="CD35" i="3"/>
  <c r="CD44" i="3"/>
  <c r="CD45" i="3"/>
  <c r="CD48" i="3"/>
  <c r="CD31" i="3"/>
  <c r="CD46" i="3"/>
  <c r="CD32" i="3"/>
  <c r="CD34" i="3"/>
  <c r="CD37" i="3"/>
  <c r="CD16" i="3"/>
  <c r="CD52" i="3"/>
  <c r="CD18" i="3"/>
  <c r="CD20" i="3"/>
  <c r="CD15" i="3"/>
  <c r="CD17" i="3"/>
  <c r="CD21" i="3"/>
  <c r="CD14" i="3"/>
  <c r="CD19" i="3"/>
  <c r="CD12" i="3"/>
  <c r="CD10" i="3"/>
  <c r="CD11" i="3"/>
  <c r="CD13" i="3"/>
  <c r="CD36" i="3"/>
  <c r="CD51" i="3"/>
  <c r="CD9" i="3"/>
  <c r="CD8" i="3"/>
  <c r="CD6" i="3"/>
  <c r="CD7" i="3"/>
  <c r="CD24" i="3"/>
  <c r="CD29" i="3"/>
  <c r="CD23" i="3"/>
  <c r="CD40" i="3"/>
  <c r="CD41" i="3"/>
  <c r="CD39" i="3"/>
  <c r="CD25" i="3"/>
  <c r="CD38" i="3"/>
  <c r="CD27" i="3"/>
  <c r="CD28" i="3"/>
  <c r="CD22" i="3"/>
  <c r="CD26" i="3"/>
  <c r="CE13" i="3" l="1"/>
  <c r="K16" i="3" s="1"/>
  <c r="CE52" i="3"/>
  <c r="L94" i="3" s="1"/>
  <c r="CE47" i="3"/>
  <c r="K89" i="3" s="1"/>
  <c r="CE48" i="3"/>
  <c r="CE40" i="3"/>
  <c r="K69" i="3" s="1"/>
  <c r="CE9" i="3"/>
  <c r="L5" i="3" s="1"/>
  <c r="CE43" i="3"/>
  <c r="K80" i="3" s="1"/>
  <c r="CE34" i="3"/>
  <c r="K62" i="3" s="1"/>
  <c r="CE27" i="3"/>
  <c r="L47" i="3" s="1"/>
  <c r="CE17" i="3"/>
  <c r="K22" i="3" s="1"/>
  <c r="CE10" i="3"/>
  <c r="L16" i="3" s="1"/>
  <c r="CE26" i="3"/>
  <c r="K46" i="3" s="1"/>
  <c r="CE37" i="3"/>
  <c r="L61" i="3" s="1"/>
  <c r="CE18" i="3"/>
  <c r="L32" i="3" s="1"/>
  <c r="CE22" i="3"/>
  <c r="L41" i="3" s="1"/>
  <c r="CE19" i="3"/>
  <c r="L28" i="3" s="1"/>
  <c r="CE11" i="3"/>
  <c r="L12" i="3" s="1"/>
  <c r="CE14" i="3"/>
  <c r="L24" i="3" s="1"/>
  <c r="CE42" i="3"/>
  <c r="L81" i="3" s="1"/>
  <c r="CE6" i="3"/>
  <c r="K7" i="3" s="1"/>
  <c r="CE41" i="3"/>
  <c r="L69" i="3" s="1"/>
  <c r="CE39" i="3"/>
  <c r="K73" i="3" s="1"/>
  <c r="CE28" i="3"/>
  <c r="L46" i="3" s="1"/>
  <c r="CE46" i="3"/>
  <c r="K86" i="3" s="1"/>
  <c r="CE21" i="3"/>
  <c r="K32" i="3" s="1"/>
  <c r="CE7" i="3"/>
  <c r="K9" i="3" s="1"/>
  <c r="CE53" i="3"/>
  <c r="K96" i="3" s="1"/>
  <c r="CE24" i="3"/>
  <c r="L40" i="3" s="1"/>
  <c r="CE30" i="3"/>
  <c r="K52" i="3" s="1"/>
  <c r="CE33" i="3"/>
  <c r="L53" i="3" s="1"/>
  <c r="CE31" i="3"/>
  <c r="K56" i="3" s="1"/>
  <c r="CE8" i="3"/>
  <c r="L7" i="3" s="1"/>
  <c r="CE23" i="3"/>
  <c r="K40" i="3" s="1"/>
  <c r="CE35" i="3"/>
  <c r="K64" i="3" s="1"/>
  <c r="CE29" i="3"/>
  <c r="K49" i="3" s="1"/>
  <c r="CE16" i="3"/>
  <c r="L23" i="3" s="1"/>
  <c r="CE12" i="3"/>
  <c r="L15" i="3" s="1"/>
  <c r="CE20" i="3"/>
  <c r="L33" i="3" s="1"/>
  <c r="CE51" i="3"/>
  <c r="L92" i="3" s="1"/>
  <c r="CE45" i="3"/>
  <c r="K81" i="3" s="1"/>
  <c r="CE38" i="3"/>
  <c r="K68" i="3" s="1"/>
  <c r="CE36" i="3"/>
  <c r="L62" i="3" s="1"/>
  <c r="CE15" i="3"/>
  <c r="L22" i="3" s="1"/>
  <c r="CE25" i="3"/>
  <c r="K41" i="3" s="1"/>
  <c r="CE50" i="3"/>
  <c r="L96" i="3" s="1"/>
  <c r="CE32" i="3"/>
  <c r="L54" i="3" s="1"/>
  <c r="CE44" i="3"/>
  <c r="K77" i="3" s="1"/>
  <c r="CE49" i="3"/>
  <c r="L85" i="3" s="1"/>
  <c r="L97" i="3"/>
  <c r="K93" i="3"/>
  <c r="L84" i="3"/>
  <c r="K12" i="3"/>
  <c r="L13" i="3"/>
  <c r="K14" i="3"/>
  <c r="L87" i="3"/>
  <c r="K24" i="3"/>
  <c r="CF48" i="3" l="1"/>
  <c r="K23" i="3"/>
  <c r="L86" i="3"/>
  <c r="L89" i="3"/>
  <c r="K85" i="3"/>
  <c r="L38" i="3"/>
  <c r="K4" i="3"/>
  <c r="K8" i="3"/>
  <c r="K28" i="3"/>
  <c r="L71" i="3"/>
  <c r="K55" i="3"/>
  <c r="L4" i="3"/>
  <c r="L70" i="3"/>
  <c r="L73" i="3"/>
  <c r="L20" i="3"/>
  <c r="CF14" i="3" s="1"/>
  <c r="L48" i="3"/>
  <c r="L6" i="3"/>
  <c r="K36" i="3"/>
  <c r="K61" i="3"/>
  <c r="L52" i="3"/>
  <c r="L88" i="3"/>
  <c r="CF49" i="3" s="1"/>
  <c r="K45" i="3"/>
  <c r="K57" i="3"/>
  <c r="CF30" i="3" s="1"/>
  <c r="K6" i="3"/>
  <c r="L76" i="3"/>
  <c r="L31" i="3"/>
  <c r="CF8" i="3"/>
  <c r="L39" i="3"/>
  <c r="K94" i="3"/>
  <c r="K30" i="3"/>
  <c r="L79" i="3"/>
  <c r="L65" i="3"/>
  <c r="L55" i="3"/>
  <c r="K60" i="3"/>
  <c r="K84" i="3"/>
  <c r="K17" i="3"/>
  <c r="L68" i="3"/>
  <c r="K29" i="3"/>
  <c r="CF21" i="3" s="1"/>
  <c r="K5" i="3"/>
  <c r="L29" i="3"/>
  <c r="K13" i="3"/>
  <c r="K48" i="3"/>
  <c r="K92" i="3"/>
  <c r="L17" i="3"/>
  <c r="CF11" i="3" s="1"/>
  <c r="K21" i="3"/>
  <c r="CF17" i="3" s="1"/>
  <c r="L36" i="3"/>
  <c r="CF22" i="3" s="1"/>
  <c r="K38" i="3"/>
  <c r="L56" i="3"/>
  <c r="CF31" i="3" s="1"/>
  <c r="L44" i="3"/>
  <c r="CF26" i="3" s="1"/>
  <c r="CF50" i="3"/>
  <c r="K33" i="3"/>
  <c r="L9" i="3"/>
  <c r="L57" i="3"/>
  <c r="K72" i="3"/>
  <c r="K25" i="3"/>
  <c r="K71" i="3"/>
  <c r="K39" i="3"/>
  <c r="K44" i="3"/>
  <c r="L64" i="3"/>
  <c r="L14" i="3"/>
  <c r="K65" i="3"/>
  <c r="K63" i="3"/>
  <c r="CF35" i="3" s="1"/>
  <c r="CF36" i="3"/>
  <c r="L60" i="3"/>
  <c r="K31" i="3"/>
  <c r="K20" i="3"/>
  <c r="K78" i="3"/>
  <c r="K95" i="3"/>
  <c r="CF10" i="3"/>
  <c r="L21" i="3"/>
  <c r="K15" i="3"/>
  <c r="K54" i="3"/>
  <c r="CF32" i="3" s="1"/>
  <c r="K76" i="3"/>
  <c r="L93" i="3"/>
  <c r="L25" i="3"/>
  <c r="L49" i="3"/>
  <c r="K37" i="3"/>
  <c r="L45" i="3"/>
  <c r="L63" i="3"/>
  <c r="K47" i="3"/>
  <c r="L8" i="3"/>
  <c r="L30" i="3"/>
  <c r="CF18" i="3" s="1"/>
  <c r="L37" i="3"/>
  <c r="L72" i="3"/>
  <c r="K79" i="3"/>
  <c r="K70" i="3"/>
  <c r="CF40" i="3" s="1"/>
  <c r="CF45" i="3"/>
  <c r="K97" i="3"/>
  <c r="L77" i="3"/>
  <c r="L95" i="3"/>
  <c r="CF53" i="3" s="1"/>
  <c r="L78" i="3"/>
  <c r="K88" i="3"/>
  <c r="CF46" i="3" s="1"/>
  <c r="L80" i="3"/>
  <c r="K53" i="3"/>
  <c r="K87" i="3"/>
  <c r="CF47" i="3" s="1"/>
  <c r="CF42" i="3" l="1"/>
  <c r="CF43" i="3"/>
  <c r="CF44" i="3"/>
  <c r="CF34" i="3"/>
  <c r="CF16" i="3"/>
  <c r="CF33" i="3"/>
  <c r="CF19" i="3"/>
  <c r="CF20" i="3"/>
  <c r="CF15" i="3"/>
  <c r="CF13" i="3"/>
  <c r="CF7" i="3"/>
  <c r="CF27" i="3"/>
  <c r="CF12" i="3"/>
  <c r="CF23" i="3"/>
  <c r="CF38" i="3"/>
  <c r="CF39" i="3"/>
  <c r="CF6" i="3"/>
  <c r="CF9" i="3"/>
  <c r="CF41" i="3"/>
  <c r="CF51" i="3"/>
  <c r="CF37" i="3"/>
  <c r="CF25" i="3"/>
  <c r="CF29" i="3"/>
  <c r="CF52" i="3"/>
  <c r="CF24" i="3"/>
  <c r="CF28" i="3"/>
  <c r="CG43" i="3" l="1"/>
  <c r="CG47" i="3"/>
  <c r="CG46" i="3"/>
  <c r="CG48" i="3"/>
  <c r="CG49" i="3"/>
  <c r="CG44" i="3"/>
  <c r="CG45" i="3"/>
  <c r="CG31" i="3"/>
  <c r="CG35" i="3"/>
  <c r="CG34" i="3"/>
  <c r="CG17" i="3"/>
  <c r="CG20" i="3"/>
  <c r="CG14" i="3"/>
  <c r="CG15" i="3"/>
  <c r="CG19" i="3"/>
  <c r="CG16" i="3"/>
  <c r="CG33" i="3"/>
  <c r="CG50" i="3"/>
  <c r="CG42" i="3"/>
  <c r="CG21" i="3"/>
  <c r="CG30" i="3"/>
  <c r="CG53" i="3"/>
  <c r="CG32" i="3"/>
  <c r="CG18" i="3"/>
  <c r="CG10" i="3"/>
  <c r="CG12" i="3"/>
  <c r="CG11" i="3"/>
  <c r="CG13" i="3"/>
  <c r="CG9" i="3"/>
  <c r="CG8" i="3"/>
  <c r="CG28" i="3"/>
  <c r="CG6" i="3"/>
  <c r="CG7" i="3"/>
  <c r="CG37" i="3"/>
  <c r="CG39" i="3"/>
  <c r="CG51" i="3"/>
  <c r="CG23" i="3"/>
  <c r="CG41" i="3"/>
  <c r="CG29" i="3"/>
  <c r="CG27" i="3"/>
  <c r="CG38" i="3"/>
  <c r="CG40" i="3"/>
  <c r="CG22" i="3"/>
  <c r="CG26" i="3"/>
  <c r="CG24" i="3"/>
  <c r="CG25" i="3"/>
  <c r="CG52" i="3"/>
  <c r="CG36" i="3"/>
  <c r="CH52" i="3" l="1"/>
  <c r="N93" i="3" s="1"/>
  <c r="CH53" i="3"/>
  <c r="CI53" i="3" s="1"/>
  <c r="CH36" i="3"/>
  <c r="O62" i="3" s="1"/>
  <c r="CH45" i="3"/>
  <c r="CK45" i="3" s="1"/>
  <c r="CH44" i="3"/>
  <c r="O80" i="3" s="1"/>
  <c r="CH34" i="3"/>
  <c r="N62" i="3" s="1"/>
  <c r="CH37" i="3"/>
  <c r="N63" i="3" s="1"/>
  <c r="CH16" i="3"/>
  <c r="N21" i="3" s="1"/>
  <c r="CH31" i="3"/>
  <c r="CI31" i="3" s="1"/>
  <c r="CH21" i="3"/>
  <c r="N31" i="3" s="1"/>
  <c r="CH27" i="3"/>
  <c r="N48" i="3" s="1"/>
  <c r="CH51" i="3"/>
  <c r="O92" i="3" s="1"/>
  <c r="CH30" i="3"/>
  <c r="CI30" i="3" s="1"/>
  <c r="CH39" i="3"/>
  <c r="O71" i="3" s="1"/>
  <c r="CH48" i="3"/>
  <c r="O86" i="3" s="1"/>
  <c r="CH23" i="3"/>
  <c r="O39" i="3" s="1"/>
  <c r="CH22" i="3"/>
  <c r="N38" i="3" s="1"/>
  <c r="CH35" i="3"/>
  <c r="N64" i="3" s="1"/>
  <c r="CH49" i="3"/>
  <c r="O85" i="3" s="1"/>
  <c r="CH46" i="3"/>
  <c r="O88" i="3" s="1"/>
  <c r="CH24" i="3"/>
  <c r="O38" i="3" s="1"/>
  <c r="CH8" i="3"/>
  <c r="O7" i="3" s="1"/>
  <c r="CH32" i="3"/>
  <c r="CI32" i="3" s="1"/>
  <c r="CH38" i="3"/>
  <c r="N70" i="3" s="1"/>
  <c r="CH20" i="3"/>
  <c r="CK20" i="3" s="1"/>
  <c r="CH41" i="3"/>
  <c r="N71" i="3" s="1"/>
  <c r="CH18" i="3"/>
  <c r="N28" i="3" s="1"/>
  <c r="CH33" i="3"/>
  <c r="N57" i="3" s="1"/>
  <c r="CH7" i="3"/>
  <c r="O6" i="3" s="1"/>
  <c r="CH25" i="3"/>
  <c r="N41" i="3" s="1"/>
  <c r="CH28" i="3"/>
  <c r="O48" i="3" s="1"/>
  <c r="CH47" i="3"/>
  <c r="N89" i="3" s="1"/>
  <c r="CH29" i="3"/>
  <c r="O45" i="3" s="1"/>
  <c r="CH6" i="3"/>
  <c r="O8" i="3" s="1"/>
  <c r="CH42" i="3"/>
  <c r="CI42" i="3" s="1"/>
  <c r="CH43" i="3"/>
  <c r="O76" i="3" s="1"/>
  <c r="CH50" i="3"/>
  <c r="CH10" i="3"/>
  <c r="O16" i="3" s="1"/>
  <c r="CH17" i="3"/>
  <c r="CI17" i="3" s="1"/>
  <c r="CH15" i="3"/>
  <c r="CK15" i="3" s="1"/>
  <c r="CH9" i="3"/>
  <c r="CH12" i="3"/>
  <c r="O17" i="3" s="1"/>
  <c r="CH19" i="3"/>
  <c r="O28" i="3" s="1"/>
  <c r="CH26" i="3"/>
  <c r="CI26" i="3" s="1"/>
  <c r="CH40" i="3"/>
  <c r="CK40" i="3" s="1"/>
  <c r="CH11" i="3"/>
  <c r="O12" i="3" s="1"/>
  <c r="CH14" i="3"/>
  <c r="CH13" i="3"/>
  <c r="O13" i="3" s="1"/>
  <c r="O94" i="3"/>
  <c r="N56" i="3"/>
  <c r="CI36" i="3"/>
  <c r="CK36" i="3"/>
  <c r="N61" i="3"/>
  <c r="O64" i="3"/>
  <c r="N79" i="3"/>
  <c r="N96" i="3"/>
  <c r="O97" i="3"/>
  <c r="O95" i="3"/>
  <c r="O93" i="3"/>
  <c r="O44" i="3"/>
  <c r="N95" i="3"/>
  <c r="O47" i="3"/>
  <c r="CI27" i="3" l="1"/>
  <c r="CI51" i="3"/>
  <c r="N29" i="3"/>
  <c r="CJ50" i="3"/>
  <c r="CI9" i="3"/>
  <c r="CI22" i="3"/>
  <c r="O55" i="3"/>
  <c r="O33" i="3"/>
  <c r="CJ19" i="3" s="1"/>
  <c r="N9" i="3"/>
  <c r="N36" i="3"/>
  <c r="O41" i="3"/>
  <c r="O4" i="3"/>
  <c r="O69" i="3"/>
  <c r="CI35" i="3"/>
  <c r="N72" i="3"/>
  <c r="CK21" i="3"/>
  <c r="O30" i="3"/>
  <c r="N32" i="3"/>
  <c r="CJ18" i="3" s="1"/>
  <c r="N7" i="3"/>
  <c r="O29" i="3"/>
  <c r="CI20" i="3" s="1"/>
  <c r="N49" i="3"/>
  <c r="N52" i="3"/>
  <c r="CK24" i="3"/>
  <c r="N54" i="3"/>
  <c r="CI44" i="3"/>
  <c r="N37" i="3"/>
  <c r="CI10" i="3"/>
  <c r="N8" i="3"/>
  <c r="CI6" i="3" s="1"/>
  <c r="CK22" i="3"/>
  <c r="CK41" i="3"/>
  <c r="O52" i="3"/>
  <c r="N97" i="3"/>
  <c r="O77" i="3"/>
  <c r="N80" i="3"/>
  <c r="N55" i="3"/>
  <c r="N81" i="3"/>
  <c r="N84" i="3"/>
  <c r="CI45" i="3"/>
  <c r="O5" i="3"/>
  <c r="N47" i="3"/>
  <c r="CK46" i="3"/>
  <c r="CI33" i="3"/>
  <c r="O53" i="3"/>
  <c r="O79" i="3"/>
  <c r="N6" i="3"/>
  <c r="N86" i="3"/>
  <c r="O32" i="3"/>
  <c r="CI21" i="3" s="1"/>
  <c r="CI12" i="3"/>
  <c r="CI43" i="3"/>
  <c r="N88" i="3"/>
  <c r="N30" i="3"/>
  <c r="CI25" i="3"/>
  <c r="CK6" i="3"/>
  <c r="CK18" i="3"/>
  <c r="CK43" i="3"/>
  <c r="CI18" i="3"/>
  <c r="CK25" i="3"/>
  <c r="N73" i="3"/>
  <c r="CI34" i="3"/>
  <c r="CI49" i="3"/>
  <c r="CI15" i="3"/>
  <c r="N15" i="3"/>
  <c r="CI37" i="3"/>
  <c r="CI11" i="3"/>
  <c r="O96" i="3"/>
  <c r="CJ53" i="3" s="1"/>
  <c r="CL53" i="3" s="1"/>
  <c r="CK34" i="3"/>
  <c r="CK8" i="3"/>
  <c r="CI39" i="3"/>
  <c r="CK30" i="3"/>
  <c r="N68" i="3"/>
  <c r="CK50" i="3"/>
  <c r="O40" i="3"/>
  <c r="O15" i="3"/>
  <c r="N65" i="3"/>
  <c r="O9" i="3"/>
  <c r="CI7" i="3" s="1"/>
  <c r="CI23" i="3"/>
  <c r="O36" i="3"/>
  <c r="CJ22" i="3" s="1"/>
  <c r="CK23" i="3"/>
  <c r="O61" i="3"/>
  <c r="CJ36" i="3" s="1"/>
  <c r="CL36" i="3" s="1"/>
  <c r="CI8" i="3"/>
  <c r="CI47" i="3"/>
  <c r="CK37" i="3"/>
  <c r="N13" i="3"/>
  <c r="O68" i="3"/>
  <c r="O57" i="3"/>
  <c r="O65" i="3"/>
  <c r="N40" i="3"/>
  <c r="O31" i="3"/>
  <c r="CJ21" i="3" s="1"/>
  <c r="N92" i="3"/>
  <c r="CK51" i="3" s="1"/>
  <c r="CK12" i="3"/>
  <c r="N77" i="3"/>
  <c r="CK44" i="3"/>
  <c r="CI19" i="3"/>
  <c r="CI50" i="3"/>
  <c r="O25" i="3"/>
  <c r="O37" i="3"/>
  <c r="CI24" i="3" s="1"/>
  <c r="N5" i="3"/>
  <c r="CJ9" i="3" s="1"/>
  <c r="O72" i="3"/>
  <c r="CI41" i="3" s="1"/>
  <c r="CI38" i="3"/>
  <c r="O84" i="3"/>
  <c r="CI46" i="3" s="1"/>
  <c r="CK39" i="3"/>
  <c r="O87" i="3"/>
  <c r="N60" i="3"/>
  <c r="CK35" i="3" s="1"/>
  <c r="O78" i="3"/>
  <c r="O23" i="3"/>
  <c r="N94" i="3"/>
  <c r="CK52" i="3" s="1"/>
  <c r="N39" i="3"/>
  <c r="CK38" i="3"/>
  <c r="CI52" i="3"/>
  <c r="N4" i="3"/>
  <c r="CK7" i="3" s="1"/>
  <c r="CK19" i="3"/>
  <c r="N87" i="3"/>
  <c r="N25" i="3"/>
  <c r="CK16" i="3" s="1"/>
  <c r="O22" i="3"/>
  <c r="N76" i="3"/>
  <c r="CJ43" i="3" s="1"/>
  <c r="O49" i="3"/>
  <c r="CI29" i="3" s="1"/>
  <c r="N46" i="3"/>
  <c r="CJ28" i="3" s="1"/>
  <c r="N53" i="3"/>
  <c r="CK28" i="3"/>
  <c r="CK48" i="3"/>
  <c r="N85" i="3"/>
  <c r="N44" i="3"/>
  <c r="CK27" i="3" s="1"/>
  <c r="N12" i="3"/>
  <c r="O54" i="3"/>
  <c r="O89" i="3"/>
  <c r="CK47" i="3" s="1"/>
  <c r="O56" i="3"/>
  <c r="N24" i="3"/>
  <c r="O46" i="3"/>
  <c r="CI28" i="3"/>
  <c r="O21" i="3"/>
  <c r="CI16" i="3" s="1"/>
  <c r="N45" i="3"/>
  <c r="CK29" i="3" s="1"/>
  <c r="CK32" i="3"/>
  <c r="N16" i="3"/>
  <c r="CI48" i="3"/>
  <c r="CK26" i="3"/>
  <c r="CJ48" i="3"/>
  <c r="O20" i="3"/>
  <c r="CI14" i="3" s="1"/>
  <c r="N33" i="3"/>
  <c r="CK10" i="3"/>
  <c r="N69" i="3"/>
  <c r="O73" i="3"/>
  <c r="O60" i="3"/>
  <c r="O63" i="3"/>
  <c r="CI40" i="3"/>
  <c r="CK11" i="3"/>
  <c r="O70" i="3"/>
  <c r="CK17" i="3"/>
  <c r="N22" i="3"/>
  <c r="CK42" i="3"/>
  <c r="N78" i="3"/>
  <c r="O81" i="3"/>
  <c r="CI13" i="3"/>
  <c r="N14" i="3"/>
  <c r="CK13" i="3"/>
  <c r="N23" i="3"/>
  <c r="N20" i="3"/>
  <c r="O24" i="3"/>
  <c r="N17" i="3"/>
  <c r="O14" i="3"/>
  <c r="CK33" i="3"/>
  <c r="CK53" i="3"/>
  <c r="CK14" i="3"/>
  <c r="CK49" i="3"/>
  <c r="CK31" i="3"/>
  <c r="CL50" i="3" l="1"/>
  <c r="CL22" i="3"/>
  <c r="CJ30" i="3"/>
  <c r="CL30" i="3" s="1"/>
  <c r="CJ32" i="3"/>
  <c r="CL32" i="3" s="1"/>
  <c r="CJ52" i="3"/>
  <c r="CL52" i="3" s="1"/>
  <c r="CJ40" i="3"/>
  <c r="CL40" i="3" s="1"/>
  <c r="CL9" i="3"/>
  <c r="CJ26" i="3"/>
  <c r="CL26" i="3" s="1"/>
  <c r="CJ51" i="3"/>
  <c r="CL51" i="3" s="1"/>
  <c r="CJ45" i="3"/>
  <c r="CL45" i="3" s="1"/>
  <c r="CJ42" i="3"/>
  <c r="CL42" i="3" s="1"/>
  <c r="CL48" i="3"/>
  <c r="CJ47" i="3"/>
  <c r="CL47" i="3" s="1"/>
  <c r="CJ13" i="3"/>
  <c r="CL13" i="3" s="1"/>
  <c r="CJ44" i="3"/>
  <c r="CL44" i="3" s="1"/>
  <c r="CJ49" i="3"/>
  <c r="CL49" i="3" s="1"/>
  <c r="CL43" i="3"/>
  <c r="CJ46" i="3"/>
  <c r="CL46" i="3" s="1"/>
  <c r="CJ38" i="3"/>
  <c r="CL38" i="3" s="1"/>
  <c r="CJ33" i="3"/>
  <c r="CL33" i="3" s="1"/>
  <c r="CJ35" i="3"/>
  <c r="CL35" i="3" s="1"/>
  <c r="CJ31" i="3"/>
  <c r="CL31" i="3" s="1"/>
  <c r="CJ34" i="3"/>
  <c r="CL34" i="3" s="1"/>
  <c r="CL28" i="3"/>
  <c r="CJ17" i="3"/>
  <c r="CL17" i="3" s="1"/>
  <c r="CJ24" i="3"/>
  <c r="CL24" i="3" s="1"/>
  <c r="CJ11" i="3"/>
  <c r="CL11" i="3" s="1"/>
  <c r="CJ20" i="3"/>
  <c r="CL20" i="3" s="1"/>
  <c r="CJ15" i="3"/>
  <c r="CL15" i="3" s="1"/>
  <c r="CJ14" i="3"/>
  <c r="CL14" i="3" s="1"/>
  <c r="CL19" i="3"/>
  <c r="CJ16" i="3"/>
  <c r="CL16" i="3" s="1"/>
  <c r="CL18" i="3"/>
  <c r="CL21" i="3"/>
  <c r="CK9" i="3"/>
  <c r="CJ10" i="3"/>
  <c r="CL10" i="3" s="1"/>
  <c r="CJ12" i="3"/>
  <c r="CL12" i="3" s="1"/>
  <c r="CJ25" i="3"/>
  <c r="CL25" i="3" s="1"/>
  <c r="CJ8" i="3"/>
  <c r="CL8" i="3" s="1"/>
  <c r="CJ6" i="3"/>
  <c r="CL6" i="3" s="1"/>
  <c r="CJ7" i="3"/>
  <c r="CL7" i="3" s="1"/>
  <c r="CJ23" i="3"/>
  <c r="CL23" i="3" s="1"/>
  <c r="CJ37" i="3"/>
  <c r="CL37" i="3" s="1"/>
  <c r="CJ39" i="3"/>
  <c r="CL39" i="3" s="1"/>
  <c r="CJ41" i="3"/>
  <c r="CL41" i="3" s="1"/>
  <c r="CJ29" i="3"/>
  <c r="CL29" i="3" s="1"/>
  <c r="CJ27" i="3"/>
  <c r="CL27" i="3" s="1"/>
  <c r="CM45" i="3" l="1"/>
  <c r="CM50" i="3"/>
  <c r="CM46" i="3"/>
  <c r="CM53" i="3"/>
  <c r="CM48" i="3"/>
  <c r="CM16" i="3"/>
  <c r="CM40" i="3"/>
  <c r="CM30" i="3"/>
  <c r="CM17" i="3"/>
  <c r="CM15" i="3"/>
  <c r="CM34" i="3"/>
  <c r="CM31" i="3"/>
  <c r="CM33" i="3"/>
  <c r="CM47" i="3"/>
  <c r="CM22" i="3"/>
  <c r="CM43" i="3"/>
  <c r="CM21" i="3"/>
  <c r="CM35" i="3"/>
  <c r="CM18" i="3"/>
  <c r="CM49" i="3"/>
  <c r="CM20" i="3"/>
  <c r="CM44" i="3"/>
  <c r="CM14" i="3"/>
  <c r="CM26" i="3"/>
  <c r="CM38" i="3"/>
  <c r="CM42" i="3"/>
  <c r="CM19" i="3"/>
  <c r="CM28" i="3"/>
  <c r="CM24" i="3"/>
  <c r="CM11" i="3"/>
  <c r="CM13" i="3"/>
  <c r="CM12" i="3"/>
  <c r="CM10" i="3"/>
  <c r="CM32" i="3"/>
  <c r="CM9" i="3"/>
  <c r="CM8" i="3"/>
  <c r="CM7" i="3"/>
  <c r="CM6" i="3"/>
  <c r="CM29" i="3"/>
  <c r="CM39" i="3"/>
  <c r="CM41" i="3"/>
  <c r="CM51" i="3"/>
  <c r="CM36" i="3"/>
  <c r="CM27" i="3"/>
  <c r="CM25" i="3"/>
  <c r="CM23" i="3"/>
  <c r="CM52" i="3"/>
  <c r="CM37" i="3"/>
  <c r="CN11" i="3" l="1"/>
  <c r="CN25" i="3"/>
  <c r="Q39" i="3" s="1"/>
  <c r="CN36" i="3"/>
  <c r="R64" i="3" s="1"/>
  <c r="CN48" i="3"/>
  <c r="Q85" i="3" s="1"/>
  <c r="CN33" i="3"/>
  <c r="Q57" i="3" s="1"/>
  <c r="CN32" i="3"/>
  <c r="Q53" i="3" s="1"/>
  <c r="CN43" i="3"/>
  <c r="R76" i="3" s="1"/>
  <c r="CN47" i="3"/>
  <c r="Q89" i="3" s="1"/>
  <c r="CN38" i="3"/>
  <c r="Q70" i="3" s="1"/>
  <c r="CN21" i="3"/>
  <c r="Q32" i="3" s="1"/>
  <c r="CN51" i="3"/>
  <c r="R92" i="3" s="1"/>
  <c r="CN7" i="3"/>
  <c r="CN26" i="3"/>
  <c r="Q44" i="3" s="1"/>
  <c r="CN14" i="3"/>
  <c r="Q20" i="3" s="1"/>
  <c r="CN13" i="3"/>
  <c r="R13" i="3" s="1"/>
  <c r="CN37" i="3"/>
  <c r="R61" i="3" s="1"/>
  <c r="CN50" i="3"/>
  <c r="Q94" i="3" s="1"/>
  <c r="CN49" i="3"/>
  <c r="Q87" i="3" s="1"/>
  <c r="CN23" i="3"/>
  <c r="R36" i="3" s="1"/>
  <c r="CN44" i="3"/>
  <c r="Q77" i="3" s="1"/>
  <c r="CN19" i="3"/>
  <c r="Q33" i="3" s="1"/>
  <c r="CN18" i="3"/>
  <c r="Q28" i="3" s="1"/>
  <c r="CN10" i="3"/>
  <c r="Q15" i="3" s="1"/>
  <c r="CN52" i="3"/>
  <c r="R97" i="3" s="1"/>
  <c r="CN28" i="3"/>
  <c r="R46" i="3" s="1"/>
  <c r="CN46" i="3"/>
  <c r="Q84" i="3" s="1"/>
  <c r="CN17" i="3"/>
  <c r="Q24" i="3" s="1"/>
  <c r="CN24" i="3"/>
  <c r="Q37" i="3" s="1"/>
  <c r="CN42" i="3"/>
  <c r="Q76" i="3" s="1"/>
  <c r="CN41" i="3"/>
  <c r="Q71" i="3" s="1"/>
  <c r="CN16" i="3"/>
  <c r="R25" i="3" s="1"/>
  <c r="CN22" i="3"/>
  <c r="Q36" i="3" s="1"/>
  <c r="CN12" i="3"/>
  <c r="R15" i="3" s="1"/>
  <c r="CN9" i="3"/>
  <c r="Q6" i="3" s="1"/>
  <c r="CN8" i="3"/>
  <c r="Q5" i="3" s="1"/>
  <c r="CN34" i="3"/>
  <c r="R65" i="3" s="1"/>
  <c r="CN53" i="3"/>
  <c r="Q95" i="3" s="1"/>
  <c r="CN40" i="3"/>
  <c r="R73" i="3" s="1"/>
  <c r="CN20" i="3"/>
  <c r="R33" i="3" s="1"/>
  <c r="CN30" i="3"/>
  <c r="R57" i="3" s="1"/>
  <c r="CN31" i="3"/>
  <c r="R52" i="3" s="1"/>
  <c r="CN45" i="3"/>
  <c r="Q79" i="3" s="1"/>
  <c r="CN39" i="3"/>
  <c r="R71" i="3" s="1"/>
  <c r="CN29" i="3"/>
  <c r="Q47" i="3" s="1"/>
  <c r="CN35" i="3"/>
  <c r="R63" i="3" s="1"/>
  <c r="CN27" i="3"/>
  <c r="R47" i="3" s="1"/>
  <c r="CN15" i="3"/>
  <c r="Q25" i="3" s="1"/>
  <c r="CN6" i="3"/>
  <c r="Q7" i="3" s="1"/>
  <c r="R4" i="3"/>
  <c r="R12" i="3"/>
  <c r="Q41" i="3"/>
  <c r="R89" i="3"/>
  <c r="R37" i="3"/>
  <c r="R78" i="3"/>
  <c r="Q17" i="3"/>
  <c r="R6" i="3"/>
  <c r="R86" i="3"/>
  <c r="R14" i="3"/>
  <c r="Q9" i="3"/>
  <c r="R29" i="3"/>
  <c r="R80" i="3" l="1"/>
  <c r="R40" i="3"/>
  <c r="Q60" i="3"/>
  <c r="Q62" i="3"/>
  <c r="R38" i="3"/>
  <c r="CP22" i="3" s="1"/>
  <c r="R56" i="3"/>
  <c r="R62" i="3"/>
  <c r="Q61" i="3"/>
  <c r="CP37" i="3" s="1"/>
  <c r="Q30" i="3"/>
  <c r="CP20" i="3" s="1"/>
  <c r="R53" i="3"/>
  <c r="R54" i="3"/>
  <c r="R28" i="3"/>
  <c r="R81" i="3"/>
  <c r="Q69" i="3"/>
  <c r="R87" i="3"/>
  <c r="Q55" i="3"/>
  <c r="R70" i="3"/>
  <c r="R84" i="3"/>
  <c r="Q96" i="3"/>
  <c r="Q72" i="3"/>
  <c r="R44" i="3"/>
  <c r="R49" i="3"/>
  <c r="Q46" i="3"/>
  <c r="CO43" i="3"/>
  <c r="R32" i="3"/>
  <c r="R69" i="3"/>
  <c r="R24" i="3"/>
  <c r="Q78" i="3"/>
  <c r="Q80" i="3"/>
  <c r="R31" i="3"/>
  <c r="Q23" i="3"/>
  <c r="Q16" i="3"/>
  <c r="CO10" i="3" s="1"/>
  <c r="Q12" i="3"/>
  <c r="CP43" i="3"/>
  <c r="Q93" i="3"/>
  <c r="R16" i="3"/>
  <c r="R79" i="3"/>
  <c r="CO45" i="3" s="1"/>
  <c r="Q63" i="3"/>
  <c r="CO35" i="3" s="1"/>
  <c r="Q21" i="3"/>
  <c r="Q38" i="3"/>
  <c r="R23" i="3"/>
  <c r="Q14" i="3"/>
  <c r="R96" i="3"/>
  <c r="R55" i="3"/>
  <c r="CP33" i="3" s="1"/>
  <c r="R41" i="3"/>
  <c r="R93" i="3"/>
  <c r="R7" i="3"/>
  <c r="R88" i="3"/>
  <c r="R85" i="3"/>
  <c r="Q68" i="3"/>
  <c r="CP39" i="3" s="1"/>
  <c r="R72" i="3"/>
  <c r="R95" i="3"/>
  <c r="CO53" i="3" s="1"/>
  <c r="Q22" i="3"/>
  <c r="CO15" i="3" s="1"/>
  <c r="Q56" i="3"/>
  <c r="R77" i="3"/>
  <c r="CP44" i="3" s="1"/>
  <c r="R21" i="3"/>
  <c r="Q31" i="3"/>
  <c r="CO19" i="3" s="1"/>
  <c r="Q45" i="3"/>
  <c r="Q86" i="3"/>
  <c r="R39" i="3"/>
  <c r="Q73" i="3"/>
  <c r="Q97" i="3"/>
  <c r="Q8" i="3"/>
  <c r="R5" i="3"/>
  <c r="CO8" i="3" s="1"/>
  <c r="Q40" i="3"/>
  <c r="Q88" i="3"/>
  <c r="CP12" i="3"/>
  <c r="R48" i="3"/>
  <c r="CO27" i="3" s="1"/>
  <c r="Q13" i="3"/>
  <c r="R9" i="3"/>
  <c r="CO23" i="3"/>
  <c r="Q92" i="3"/>
  <c r="CP51" i="3" s="1"/>
  <c r="R94" i="3"/>
  <c r="CP50" i="3" s="1"/>
  <c r="Q65" i="3"/>
  <c r="R17" i="3"/>
  <c r="R30" i="3"/>
  <c r="CO18" i="3" s="1"/>
  <c r="R22" i="3"/>
  <c r="Q29" i="3"/>
  <c r="Q52" i="3"/>
  <c r="R20" i="3"/>
  <c r="Q54" i="3"/>
  <c r="Q81" i="3"/>
  <c r="CP42" i="3" s="1"/>
  <c r="R45" i="3"/>
  <c r="Q49" i="3"/>
  <c r="CO26" i="3" s="1"/>
  <c r="Q48" i="3"/>
  <c r="Q64" i="3"/>
  <c r="CP36" i="3" s="1"/>
  <c r="R68" i="3"/>
  <c r="R8" i="3"/>
  <c r="CO9" i="3" s="1"/>
  <c r="R60" i="3"/>
  <c r="Q4" i="3"/>
  <c r="CP30" i="3"/>
  <c r="CP53" i="3"/>
  <c r="CP45" i="3"/>
  <c r="CO22" i="3"/>
  <c r="CO30" i="3"/>
  <c r="CP47" i="3"/>
  <c r="CO47" i="3"/>
  <c r="CO12" i="3"/>
  <c r="CP23" i="3"/>
  <c r="CP49" i="3" l="1"/>
  <c r="CP35" i="3"/>
  <c r="CP34" i="3"/>
  <c r="CP48" i="3"/>
  <c r="CO24" i="3"/>
  <c r="CO37" i="3"/>
  <c r="CQ37" i="3" s="1"/>
  <c r="CP38" i="3"/>
  <c r="CP14" i="3"/>
  <c r="CP46" i="3"/>
  <c r="CO34" i="3"/>
  <c r="CO50" i="3"/>
  <c r="CQ50" i="3" s="1"/>
  <c r="CQ22" i="3"/>
  <c r="CP40" i="3"/>
  <c r="CQ43" i="3"/>
  <c r="CO46" i="3"/>
  <c r="CP24" i="3"/>
  <c r="CO21" i="3"/>
  <c r="CO40" i="3"/>
  <c r="CO49" i="3"/>
  <c r="CO48" i="3"/>
  <c r="CO11" i="3"/>
  <c r="CO38" i="3"/>
  <c r="CP31" i="3"/>
  <c r="CP32" i="3"/>
  <c r="CP16" i="3"/>
  <c r="CO42" i="3"/>
  <c r="CQ42" i="3" s="1"/>
  <c r="CP10" i="3"/>
  <c r="CQ10" i="3" s="1"/>
  <c r="CO44" i="3"/>
  <c r="CQ44" i="3" s="1"/>
  <c r="CO31" i="3"/>
  <c r="CQ30" i="3"/>
  <c r="CO32" i="3"/>
  <c r="CP28" i="3"/>
  <c r="CP17" i="3"/>
  <c r="CO28" i="3"/>
  <c r="CP26" i="3"/>
  <c r="CQ26" i="3" s="1"/>
  <c r="CP9" i="3"/>
  <c r="CQ9" i="3" s="1"/>
  <c r="CP15" i="3"/>
  <c r="CQ15" i="3" s="1"/>
  <c r="CP13" i="3"/>
  <c r="CO17" i="3"/>
  <c r="CP21" i="3"/>
  <c r="CP18" i="3"/>
  <c r="CQ18" i="3" s="1"/>
  <c r="CO16" i="3"/>
  <c r="CO20" i="3"/>
  <c r="CQ20" i="3" s="1"/>
  <c r="CP19" i="3"/>
  <c r="CQ19" i="3" s="1"/>
  <c r="CO14" i="3"/>
  <c r="CP11" i="3"/>
  <c r="CQ12" i="3"/>
  <c r="CO13" i="3"/>
  <c r="CO7" i="3"/>
  <c r="CO6" i="3"/>
  <c r="CP6" i="3"/>
  <c r="CP8" i="3"/>
  <c r="CQ8" i="3" s="1"/>
  <c r="CP7" i="3"/>
  <c r="CP52" i="3"/>
  <c r="CP27" i="3"/>
  <c r="CQ27" i="3" s="1"/>
  <c r="CO52" i="3"/>
  <c r="CO41" i="3"/>
  <c r="CO29" i="3"/>
  <c r="CQ23" i="3"/>
  <c r="CP29" i="3"/>
  <c r="CO51" i="3"/>
  <c r="CQ51" i="3" s="1"/>
  <c r="CO33" i="3"/>
  <c r="CQ33" i="3" s="1"/>
  <c r="CO39" i="3"/>
  <c r="CQ39" i="3" s="1"/>
  <c r="CO25" i="3"/>
  <c r="CP25" i="3"/>
  <c r="CP41" i="3"/>
  <c r="CO36" i="3"/>
  <c r="CQ36" i="3" s="1"/>
  <c r="CQ45" i="3"/>
  <c r="CQ53" i="3"/>
  <c r="CQ47" i="3"/>
  <c r="CQ35" i="3"/>
  <c r="CQ49" i="3" l="1"/>
  <c r="CQ24" i="3"/>
  <c r="CQ48" i="3"/>
  <c r="CQ34" i="3"/>
  <c r="CQ14" i="3"/>
  <c r="CQ21" i="3"/>
  <c r="CQ46" i="3"/>
  <c r="CQ16" i="3"/>
  <c r="CQ40" i="3"/>
  <c r="CQ38" i="3"/>
  <c r="CQ11" i="3"/>
  <c r="CQ31" i="3"/>
  <c r="CQ32" i="3"/>
  <c r="CQ28" i="3"/>
  <c r="CQ13" i="3"/>
  <c r="CQ17" i="3"/>
  <c r="CQ7" i="3"/>
  <c r="CQ6" i="3"/>
  <c r="CQ41" i="3"/>
  <c r="CQ52" i="3"/>
  <c r="CQ29" i="3"/>
  <c r="CQ25" i="3"/>
  <c r="CR50" i="3" l="1"/>
  <c r="CR53" i="3"/>
  <c r="CR47" i="3"/>
  <c r="CR48" i="3"/>
  <c r="CR21" i="3"/>
  <c r="CR31" i="3"/>
  <c r="CR26" i="3"/>
  <c r="CR41" i="3"/>
  <c r="CR49" i="3"/>
  <c r="CR45" i="3"/>
  <c r="CR44" i="3"/>
  <c r="CR43" i="3"/>
  <c r="CR30" i="3"/>
  <c r="CR42" i="3"/>
  <c r="CR38" i="3"/>
  <c r="CR33" i="3"/>
  <c r="CR40" i="3"/>
  <c r="CR39" i="3"/>
  <c r="CR19" i="3"/>
  <c r="CR35" i="3"/>
  <c r="CR34" i="3"/>
  <c r="CR24" i="3"/>
  <c r="CR36" i="3"/>
  <c r="CR22" i="3"/>
  <c r="CR28" i="3"/>
  <c r="CR17" i="3"/>
  <c r="CR14" i="3"/>
  <c r="CR20" i="3"/>
  <c r="CR15" i="3"/>
  <c r="CR16" i="3"/>
  <c r="CR18" i="3"/>
  <c r="CR10" i="3"/>
  <c r="CR7" i="3"/>
  <c r="CR46" i="3"/>
  <c r="CR11" i="3"/>
  <c r="CR32" i="3"/>
  <c r="CR9" i="3"/>
  <c r="CR6" i="3"/>
  <c r="CR8" i="3"/>
  <c r="CR27" i="3"/>
  <c r="CR13" i="3"/>
  <c r="CR12" i="3"/>
  <c r="CR29" i="3"/>
  <c r="CR37" i="3"/>
  <c r="CR23" i="3"/>
  <c r="CR25" i="3"/>
  <c r="CR51" i="3"/>
  <c r="CR52" i="3"/>
  <c r="CS24" i="3" l="1"/>
  <c r="U40" i="3" s="1"/>
  <c r="CS36" i="3"/>
  <c r="U62" i="3" s="1"/>
  <c r="CS46" i="3"/>
  <c r="U88" i="3" s="1"/>
  <c r="CS30" i="3"/>
  <c r="CS10" i="3"/>
  <c r="T15" i="3" s="1"/>
  <c r="CS48" i="3"/>
  <c r="U89" i="3" s="1"/>
  <c r="CS47" i="3"/>
  <c r="U84" i="3" s="1"/>
  <c r="CS13" i="3"/>
  <c r="T14" i="3" s="1"/>
  <c r="CS35" i="3"/>
  <c r="U63" i="3" s="1"/>
  <c r="CS39" i="3"/>
  <c r="U71" i="3" s="1"/>
  <c r="CS16" i="3"/>
  <c r="U23" i="3" s="1"/>
  <c r="CS25" i="3"/>
  <c r="T39" i="3" s="1"/>
  <c r="CS22" i="3"/>
  <c r="T38" i="3" s="1"/>
  <c r="CS49" i="3"/>
  <c r="U85" i="3" s="1"/>
  <c r="CS11" i="3"/>
  <c r="T17" i="3" s="1"/>
  <c r="CS32" i="3"/>
  <c r="U56" i="3" s="1"/>
  <c r="CS42" i="3"/>
  <c r="T78" i="3" s="1"/>
  <c r="CS45" i="3"/>
  <c r="T79" i="3" s="1"/>
  <c r="CS20" i="3"/>
  <c r="U30" i="3" s="1"/>
  <c r="CS51" i="3"/>
  <c r="U92" i="3" s="1"/>
  <c r="CS40" i="3"/>
  <c r="U70" i="3" s="1"/>
  <c r="CS31" i="3"/>
  <c r="U55" i="3" s="1"/>
  <c r="CS37" i="3"/>
  <c r="T63" i="3" s="1"/>
  <c r="CS41" i="3"/>
  <c r="T71" i="3" s="1"/>
  <c r="CS23" i="3"/>
  <c r="T40" i="3" s="1"/>
  <c r="CS9" i="3"/>
  <c r="U5" i="3" s="1"/>
  <c r="CS8" i="3"/>
  <c r="U9" i="3" s="1"/>
  <c r="CS17" i="3"/>
  <c r="T22" i="3" s="1"/>
  <c r="CS44" i="3"/>
  <c r="U80" i="3" s="1"/>
  <c r="CS38" i="3"/>
  <c r="T70" i="3" s="1"/>
  <c r="CS33" i="3"/>
  <c r="U53" i="3" s="1"/>
  <c r="CS27" i="3"/>
  <c r="U47" i="3" s="1"/>
  <c r="CS43" i="3"/>
  <c r="T80" i="3" s="1"/>
  <c r="CS6" i="3"/>
  <c r="U8" i="3" s="1"/>
  <c r="CS18" i="3"/>
  <c r="T30" i="3" s="1"/>
  <c r="CS21" i="3"/>
  <c r="T31" i="3" s="1"/>
  <c r="CS19" i="3"/>
  <c r="U31" i="3" s="1"/>
  <c r="CS26" i="3"/>
  <c r="T46" i="3" s="1"/>
  <c r="CS52" i="3"/>
  <c r="T93" i="3" s="1"/>
  <c r="CS28" i="3"/>
  <c r="U48" i="3" s="1"/>
  <c r="CS15" i="3"/>
  <c r="U22" i="3" s="1"/>
  <c r="CS34" i="3"/>
  <c r="U65" i="3" s="1"/>
  <c r="CS12" i="3"/>
  <c r="T13" i="3" s="1"/>
  <c r="CS50" i="3"/>
  <c r="T92" i="3" s="1"/>
  <c r="CS53" i="3"/>
  <c r="T95" i="3" s="1"/>
  <c r="CS14" i="3"/>
  <c r="U24" i="3" s="1"/>
  <c r="CS7" i="3"/>
  <c r="U4" i="3" s="1"/>
  <c r="CS29" i="3"/>
  <c r="U45" i="3" s="1"/>
  <c r="U38" i="3"/>
  <c r="T37" i="3"/>
  <c r="T52" i="3"/>
  <c r="T54" i="3"/>
  <c r="T41" i="3"/>
  <c r="U37" i="3"/>
  <c r="CT24" i="3" s="1"/>
  <c r="U57" i="3"/>
  <c r="U33" i="3" l="1"/>
  <c r="U25" i="3"/>
  <c r="T21" i="3"/>
  <c r="U32" i="3"/>
  <c r="T84" i="3"/>
  <c r="T86" i="3"/>
  <c r="T29" i="3"/>
  <c r="T12" i="3"/>
  <c r="T61" i="3"/>
  <c r="CT37" i="3" s="1"/>
  <c r="T6" i="3"/>
  <c r="U64" i="3"/>
  <c r="U68" i="3"/>
  <c r="U7" i="3"/>
  <c r="T28" i="3"/>
  <c r="CT19" i="3" s="1"/>
  <c r="T8" i="3"/>
  <c r="U77" i="3"/>
  <c r="CT44" i="3" s="1"/>
  <c r="T36" i="3"/>
  <c r="CT23" i="3" s="1"/>
  <c r="U41" i="3"/>
  <c r="T69" i="3"/>
  <c r="U73" i="3"/>
  <c r="U15" i="3"/>
  <c r="T77" i="3"/>
  <c r="T81" i="3"/>
  <c r="U16" i="3"/>
  <c r="T24" i="3"/>
  <c r="T73" i="3"/>
  <c r="U95" i="3"/>
  <c r="T85" i="3"/>
  <c r="U86" i="3"/>
  <c r="T97" i="3"/>
  <c r="T32" i="3"/>
  <c r="CT17" i="3"/>
  <c r="U81" i="3"/>
  <c r="U78" i="3"/>
  <c r="T89" i="3"/>
  <c r="U87" i="3"/>
  <c r="T87" i="3"/>
  <c r="CT47" i="3" s="1"/>
  <c r="T88" i="3"/>
  <c r="T56" i="3"/>
  <c r="CT32" i="3" s="1"/>
  <c r="T53" i="3"/>
  <c r="CT33" i="3" s="1"/>
  <c r="U13" i="3"/>
  <c r="CT12" i="3" s="1"/>
  <c r="U49" i="3"/>
  <c r="T16" i="3"/>
  <c r="U52" i="3"/>
  <c r="T64" i="3"/>
  <c r="U14" i="3"/>
  <c r="U60" i="3"/>
  <c r="U54" i="3"/>
  <c r="T76" i="3"/>
  <c r="U12" i="3"/>
  <c r="T94" i="3"/>
  <c r="U28" i="3"/>
  <c r="T68" i="3"/>
  <c r="U21" i="3"/>
  <c r="CT38" i="3"/>
  <c r="U93" i="3"/>
  <c r="T33" i="3"/>
  <c r="U29" i="3"/>
  <c r="T20" i="3"/>
  <c r="T96" i="3"/>
  <c r="U72" i="3"/>
  <c r="U96" i="3"/>
  <c r="CT53" i="3" s="1"/>
  <c r="T44" i="3"/>
  <c r="T5" i="3"/>
  <c r="U39" i="3"/>
  <c r="CT25" i="3" s="1"/>
  <c r="T72" i="3"/>
  <c r="T57" i="3"/>
  <c r="U94" i="3"/>
  <c r="CT50" i="3" s="1"/>
  <c r="U36" i="3"/>
  <c r="CT22" i="3" s="1"/>
  <c r="T65" i="3"/>
  <c r="U61" i="3"/>
  <c r="U17" i="3"/>
  <c r="CT11" i="3" s="1"/>
  <c r="T23" i="3"/>
  <c r="U69" i="3"/>
  <c r="T55" i="3"/>
  <c r="U97" i="3"/>
  <c r="CT51" i="3" s="1"/>
  <c r="U6" i="3"/>
  <c r="T25" i="3"/>
  <c r="CT34" i="3"/>
  <c r="U79" i="3"/>
  <c r="T60" i="3"/>
  <c r="CT35" i="3" s="1"/>
  <c r="T4" i="3"/>
  <c r="CT7" i="3" s="1"/>
  <c r="T62" i="3"/>
  <c r="T7" i="3"/>
  <c r="U20" i="3"/>
  <c r="T48" i="3"/>
  <c r="CT28" i="3" s="1"/>
  <c r="U44" i="3"/>
  <c r="U76" i="3"/>
  <c r="CT43" i="3"/>
  <c r="U46" i="3"/>
  <c r="T45" i="3"/>
  <c r="T47" i="3"/>
  <c r="T9" i="3"/>
  <c r="T49" i="3"/>
  <c r="CT40" i="3"/>
  <c r="CT31" i="3"/>
  <c r="CT15" i="3"/>
  <c r="CT49" i="3"/>
  <c r="CT21" i="3" l="1"/>
  <c r="CT48" i="3"/>
  <c r="CT6" i="3"/>
  <c r="CT14" i="3"/>
  <c r="CT46" i="3"/>
  <c r="CT42" i="3"/>
  <c r="CT45" i="3"/>
  <c r="CT20" i="3"/>
  <c r="CT30" i="3"/>
  <c r="CT26" i="3"/>
  <c r="CT18" i="3"/>
  <c r="CT16" i="3"/>
  <c r="CT13" i="3"/>
  <c r="CT27" i="3"/>
  <c r="CT41" i="3"/>
  <c r="CT39" i="3"/>
  <c r="CT10" i="3"/>
  <c r="CT52" i="3"/>
  <c r="CT29" i="3"/>
  <c r="CT9" i="3"/>
  <c r="CT36" i="3"/>
  <c r="CT8" i="3"/>
  <c r="CU53" i="3" l="1"/>
  <c r="CU43" i="3"/>
  <c r="CU47" i="3"/>
  <c r="CU49" i="3"/>
  <c r="CU48" i="3"/>
  <c r="CU45" i="3"/>
  <c r="CU44" i="3"/>
  <c r="CU24" i="3"/>
  <c r="CU41" i="3"/>
  <c r="CU21" i="3"/>
  <c r="CU27" i="3"/>
  <c r="CU38" i="3"/>
  <c r="CU30" i="3"/>
  <c r="CU10" i="3"/>
  <c r="CU26" i="3"/>
  <c r="CU20" i="3"/>
  <c r="CU35" i="3"/>
  <c r="CU50" i="3"/>
  <c r="CU31" i="3"/>
  <c r="CU18" i="3"/>
  <c r="CU11" i="3"/>
  <c r="CU19" i="3"/>
  <c r="CU46" i="3"/>
  <c r="CU32" i="3"/>
  <c r="CU33" i="3"/>
  <c r="CU15" i="3"/>
  <c r="CU14" i="3"/>
  <c r="CU42" i="3"/>
  <c r="CU34" i="3"/>
  <c r="CU17" i="3"/>
  <c r="CU12" i="3"/>
  <c r="CU16" i="3"/>
  <c r="CU40" i="3"/>
  <c r="CU28" i="3"/>
  <c r="CU22" i="3"/>
  <c r="CU29" i="3"/>
  <c r="CU39" i="3"/>
  <c r="CU8" i="3"/>
  <c r="CU25" i="3"/>
  <c r="CU37" i="3"/>
  <c r="CU23" i="3"/>
  <c r="CU9" i="3"/>
  <c r="CU51" i="3"/>
  <c r="CU7" i="3"/>
  <c r="CU6" i="3"/>
  <c r="CU52" i="3"/>
  <c r="CU13" i="3"/>
  <c r="CU36" i="3"/>
  <c r="CV41" i="3" l="1"/>
  <c r="CW41" i="3" s="1"/>
  <c r="CV42" i="3"/>
  <c r="CW42" i="3" s="1"/>
  <c r="CV36" i="3"/>
  <c r="CW36" i="3" s="1"/>
  <c r="CV28" i="3"/>
  <c r="CW28" i="3" s="1"/>
  <c r="CV8" i="3"/>
  <c r="CW8" i="3" s="1"/>
  <c r="CV25" i="3"/>
  <c r="CW25" i="3" s="1"/>
  <c r="CV10" i="3"/>
  <c r="CW10" i="3" s="1"/>
  <c r="CV51" i="3"/>
  <c r="CW51" i="3" s="1"/>
  <c r="CV45" i="3"/>
  <c r="CW45" i="3" s="1"/>
  <c r="CV49" i="3"/>
  <c r="CW49" i="3" s="1"/>
  <c r="CV35" i="3"/>
  <c r="CW35" i="3" s="1"/>
  <c r="CV18" i="3"/>
  <c r="CW18" i="3" s="1"/>
  <c r="CV13" i="3"/>
  <c r="CW13" i="3" s="1"/>
  <c r="CV47" i="3"/>
  <c r="CW47" i="3" s="1"/>
  <c r="CV48" i="3"/>
  <c r="CW48" i="3" s="1"/>
  <c r="CV19" i="3"/>
  <c r="CW19" i="3" s="1"/>
  <c r="CV30" i="3"/>
  <c r="CW30" i="3" s="1"/>
  <c r="CV24" i="3"/>
  <c r="CW24" i="3" s="1"/>
  <c r="CV16" i="3"/>
  <c r="CW16" i="3" s="1"/>
  <c r="CV33" i="3"/>
  <c r="CW33" i="3" s="1"/>
  <c r="CV9" i="3"/>
  <c r="CW9" i="3" s="1"/>
  <c r="CV7" i="3"/>
  <c r="CW7" i="3" s="1"/>
  <c r="CV12" i="3"/>
  <c r="CW12" i="3" s="1"/>
  <c r="CV44" i="3"/>
  <c r="CW44" i="3" s="1"/>
  <c r="CV29" i="3"/>
  <c r="CW29" i="3" s="1"/>
  <c r="CV20" i="3"/>
  <c r="CW20" i="3" s="1"/>
  <c r="CV37" i="3"/>
  <c r="CW37" i="3" s="1"/>
  <c r="CV39" i="3"/>
  <c r="CW39" i="3" s="1"/>
  <c r="CV46" i="3"/>
  <c r="CW46" i="3" s="1"/>
  <c r="CV52" i="3"/>
  <c r="CW52" i="3" s="1"/>
  <c r="CV15" i="3"/>
  <c r="CW15" i="3" s="1"/>
  <c r="CV6" i="3"/>
  <c r="CW6" i="3" s="1"/>
  <c r="CV53" i="3"/>
  <c r="CW53" i="3" s="1"/>
  <c r="CV11" i="3"/>
  <c r="CW11" i="3" s="1"/>
  <c r="CV32" i="3"/>
  <c r="CW32" i="3" s="1"/>
  <c r="CV43" i="3"/>
  <c r="CW43" i="3" s="1"/>
  <c r="CV26" i="3"/>
  <c r="CW26" i="3" s="1"/>
  <c r="CV22" i="3"/>
  <c r="CW22" i="3" s="1"/>
  <c r="CV40" i="3"/>
  <c r="CW40" i="3" s="1"/>
  <c r="CV50" i="3"/>
  <c r="CW50" i="3" s="1"/>
  <c r="CV38" i="3"/>
  <c r="CW38" i="3" s="1"/>
  <c r="CV34" i="3"/>
  <c r="CW34" i="3" s="1"/>
  <c r="CV31" i="3"/>
  <c r="CW31" i="3" s="1"/>
  <c r="CV27" i="3"/>
  <c r="CW27" i="3" s="1"/>
  <c r="CV17" i="3"/>
  <c r="CW17" i="3" s="1"/>
  <c r="CV21" i="3"/>
  <c r="CW21" i="3" s="1"/>
  <c r="CV23" i="3"/>
  <c r="CW23" i="3" s="1"/>
  <c r="CV14" i="3"/>
  <c r="CW14" i="3" s="1"/>
  <c r="CX44" i="3" l="1"/>
  <c r="CX14" i="3"/>
  <c r="CX52" i="3"/>
  <c r="CX22" i="3"/>
  <c r="CX42" i="3"/>
  <c r="CX46" i="3"/>
  <c r="CX37" i="3"/>
  <c r="CX28" i="3"/>
  <c r="CX33" i="3"/>
  <c r="CX26" i="3"/>
  <c r="CX41" i="3"/>
  <c r="CX47" i="3"/>
  <c r="CX20" i="3"/>
  <c r="CX27" i="3"/>
  <c r="CX15" i="3"/>
  <c r="CX6" i="3"/>
  <c r="CX31" i="3"/>
  <c r="CX40" i="3"/>
  <c r="CX13" i="3"/>
  <c r="CX43" i="3"/>
  <c r="CX51" i="3"/>
  <c r="CX36" i="3"/>
  <c r="CX19" i="3"/>
  <c r="CX24" i="3"/>
  <c r="CX50" i="3"/>
  <c r="CX35" i="3"/>
  <c r="CX34" i="3"/>
  <c r="CX7" i="3"/>
  <c r="CX32" i="3"/>
  <c r="CX39" i="3"/>
  <c r="CX8" i="3"/>
  <c r="CX48" i="3"/>
  <c r="CX53" i="3"/>
  <c r="CX23" i="3"/>
  <c r="CX25" i="3"/>
  <c r="CX12" i="3"/>
  <c r="CX30" i="3"/>
  <c r="CX49" i="3"/>
  <c r="CX38" i="3"/>
  <c r="CX21" i="3"/>
  <c r="CX18" i="3"/>
  <c r="CX10" i="3"/>
  <c r="CX16" i="3"/>
  <c r="CX29" i="3"/>
  <c r="CX45" i="3"/>
  <c r="CX11" i="3"/>
  <c r="CX17" i="3"/>
  <c r="CX9" i="3"/>
  <c r="CY52" i="3" l="1"/>
  <c r="CZ52" i="3" s="1"/>
  <c r="CY53" i="3"/>
  <c r="CZ53" i="3" s="1"/>
  <c r="CY18" i="3"/>
  <c r="CZ18" i="3" s="1"/>
  <c r="CY48" i="3"/>
  <c r="CZ48" i="3" s="1"/>
  <c r="CY35" i="3"/>
  <c r="CZ35" i="3" s="1"/>
  <c r="CY9" i="3"/>
  <c r="CZ9" i="3" s="1"/>
  <c r="CY13" i="3"/>
  <c r="CZ13" i="3" s="1"/>
  <c r="CY21" i="3"/>
  <c r="CZ21" i="3" s="1"/>
  <c r="CY17" i="3"/>
  <c r="CZ17" i="3" s="1"/>
  <c r="CY38" i="3"/>
  <c r="CZ38" i="3" s="1"/>
  <c r="CY44" i="3"/>
  <c r="CZ44" i="3" s="1"/>
  <c r="CY11" i="3"/>
  <c r="CZ11" i="3" s="1"/>
  <c r="CY49" i="3"/>
  <c r="CZ49" i="3" s="1"/>
  <c r="CY23" i="3"/>
  <c r="CZ23" i="3" s="1"/>
  <c r="CY45" i="3"/>
  <c r="CZ45" i="3" s="1"/>
  <c r="CY34" i="3"/>
  <c r="CZ34" i="3" s="1"/>
  <c r="CY10" i="3"/>
  <c r="CZ10" i="3" s="1"/>
  <c r="CY50" i="3"/>
  <c r="CZ50" i="3" s="1"/>
  <c r="CY6" i="3"/>
  <c r="CZ6" i="3" s="1"/>
  <c r="CY39" i="3"/>
  <c r="CZ39" i="3" s="1"/>
  <c r="CY16" i="3"/>
  <c r="CZ16" i="3" s="1"/>
  <c r="CY32" i="3"/>
  <c r="CZ32" i="3" s="1"/>
  <c r="CY25" i="3"/>
  <c r="CZ25" i="3" s="1"/>
  <c r="CY36" i="3"/>
  <c r="CZ36" i="3" s="1"/>
  <c r="CY31" i="3"/>
  <c r="CZ31" i="3" s="1"/>
  <c r="CY24" i="3"/>
  <c r="CZ24" i="3" s="1"/>
  <c r="CY33" i="3"/>
  <c r="CZ33" i="3" s="1"/>
  <c r="CY19" i="3"/>
  <c r="CZ19" i="3" s="1"/>
  <c r="CY22" i="3"/>
  <c r="CZ22" i="3" s="1"/>
  <c r="CY46" i="3"/>
  <c r="CZ46" i="3" s="1"/>
  <c r="CY20" i="3"/>
  <c r="CZ20" i="3" s="1"/>
  <c r="CY29" i="3"/>
  <c r="CZ29" i="3" s="1"/>
  <c r="CY40" i="3"/>
  <c r="CZ40" i="3" s="1"/>
  <c r="CY12" i="3"/>
  <c r="CZ12" i="3" s="1"/>
  <c r="CY47" i="3"/>
  <c r="CZ47" i="3" s="1"/>
  <c r="CY42" i="3"/>
  <c r="CZ42" i="3" s="1"/>
  <c r="CY28" i="3"/>
  <c r="CZ28" i="3" s="1"/>
  <c r="CY37" i="3"/>
  <c r="CZ37" i="3" s="1"/>
  <c r="CY8" i="3"/>
  <c r="CZ8" i="3" s="1"/>
  <c r="CY7" i="3"/>
  <c r="CZ7" i="3" s="1"/>
  <c r="CY26" i="3"/>
  <c r="CZ26" i="3" s="1"/>
  <c r="CY41" i="3"/>
  <c r="CZ41" i="3" s="1"/>
  <c r="CY51" i="3"/>
  <c r="CZ51" i="3" s="1"/>
  <c r="CY30" i="3"/>
  <c r="CZ30" i="3" s="1"/>
  <c r="CY43" i="3"/>
  <c r="CZ43" i="3" s="1"/>
  <c r="CY27" i="3"/>
  <c r="CZ27" i="3" s="1"/>
  <c r="CY15" i="3"/>
  <c r="CZ15" i="3" s="1"/>
  <c r="CY14" i="3"/>
  <c r="CZ14" i="3" s="1"/>
  <c r="DA35" i="3" l="1"/>
  <c r="DA27" i="3"/>
  <c r="DA46" i="3"/>
  <c r="DA41" i="3"/>
  <c r="DA52" i="3"/>
  <c r="DA51" i="3"/>
  <c r="DA49" i="3"/>
  <c r="DA31" i="3"/>
  <c r="DA18" i="3"/>
  <c r="DA47" i="3"/>
  <c r="DA19" i="3"/>
  <c r="DA12" i="3"/>
  <c r="DA13" i="3"/>
  <c r="DA39" i="3"/>
  <c r="DA43" i="3"/>
  <c r="DA15" i="3"/>
  <c r="DA26" i="3"/>
  <c r="DA40" i="3"/>
  <c r="DA32" i="3"/>
  <c r="DA14" i="3"/>
  <c r="DA16" i="3"/>
  <c r="DA10" i="3"/>
  <c r="DA30" i="3"/>
  <c r="DA25" i="3"/>
  <c r="DA17" i="3"/>
  <c r="DA42" i="3"/>
  <c r="DA48" i="3"/>
  <c r="DA6" i="3"/>
  <c r="DA36" i="3"/>
  <c r="DA20" i="3"/>
  <c r="DA21" i="3"/>
  <c r="DA37" i="3"/>
  <c r="DA33" i="3"/>
  <c r="DA44" i="3"/>
  <c r="DA29" i="3"/>
  <c r="DA7" i="3"/>
  <c r="DA22" i="3"/>
  <c r="DA28" i="3"/>
  <c r="DA34" i="3"/>
  <c r="DA38" i="3"/>
  <c r="DA24" i="3"/>
  <c r="DA9" i="3"/>
  <c r="DA11" i="3"/>
  <c r="DA45" i="3"/>
  <c r="DA50" i="3"/>
  <c r="DA23" i="3"/>
  <c r="DA53" i="3"/>
  <c r="DA8" i="3"/>
  <c r="DB44" i="3" l="1"/>
  <c r="DC44" i="3" s="1"/>
  <c r="DB24" i="3"/>
  <c r="DC24" i="3" s="1"/>
  <c r="DB33" i="3"/>
  <c r="DC33" i="3" s="1"/>
  <c r="DB38" i="3"/>
  <c r="DC38" i="3" s="1"/>
  <c r="DB37" i="3"/>
  <c r="DC37" i="3" s="1"/>
  <c r="DB53" i="3"/>
  <c r="DC53" i="3" s="1"/>
  <c r="DB30" i="3"/>
  <c r="DC30" i="3" s="1"/>
  <c r="DB23" i="3"/>
  <c r="DC23" i="3" s="1"/>
  <c r="DB50" i="3"/>
  <c r="DC50" i="3" s="1"/>
  <c r="DB45" i="3"/>
  <c r="DC45" i="3" s="1"/>
  <c r="DB29" i="3"/>
  <c r="DC29" i="3" s="1"/>
  <c r="DB22" i="3"/>
  <c r="DC22" i="3" s="1"/>
  <c r="DB8" i="3"/>
  <c r="DC8" i="3" s="1"/>
  <c r="DB42" i="3"/>
  <c r="DC42" i="3" s="1"/>
  <c r="DB27" i="3"/>
  <c r="DC27" i="3" s="1"/>
  <c r="DB49" i="3"/>
  <c r="DC49" i="3" s="1"/>
  <c r="DB40" i="3"/>
  <c r="DC40" i="3" s="1"/>
  <c r="DB41" i="3"/>
  <c r="DC41" i="3" s="1"/>
  <c r="DB51" i="3"/>
  <c r="DC51" i="3" s="1"/>
  <c r="DB19" i="3"/>
  <c r="DC19" i="3" s="1"/>
  <c r="DB52" i="3"/>
  <c r="DC52" i="3" s="1"/>
  <c r="DB32" i="3"/>
  <c r="DC32" i="3" s="1"/>
  <c r="DB48" i="3"/>
  <c r="DC48" i="3" s="1"/>
  <c r="DB12" i="3"/>
  <c r="DC12" i="3" s="1"/>
  <c r="DB31" i="3"/>
  <c r="DC31" i="3" s="1"/>
  <c r="DB9" i="3"/>
  <c r="DC9" i="3" s="1"/>
  <c r="DB43" i="3"/>
  <c r="DC43" i="3" s="1"/>
  <c r="DB46" i="3"/>
  <c r="DC46" i="3" s="1"/>
  <c r="DB17" i="3"/>
  <c r="DC17" i="3" s="1"/>
  <c r="DB35" i="3"/>
  <c r="DC35" i="3" s="1"/>
  <c r="DB28" i="3"/>
  <c r="DC28" i="3" s="1"/>
  <c r="DB25" i="3"/>
  <c r="DC25" i="3" s="1"/>
  <c r="DB21" i="3"/>
  <c r="DC21" i="3" s="1"/>
  <c r="DB16" i="3"/>
  <c r="DC16" i="3" s="1"/>
  <c r="DB10" i="3"/>
  <c r="DC10" i="3" s="1"/>
  <c r="DB26" i="3"/>
  <c r="DC26" i="3" s="1"/>
  <c r="DB20" i="3"/>
  <c r="DC20" i="3" s="1"/>
  <c r="DB15" i="3"/>
  <c r="DC15" i="3" s="1"/>
  <c r="DB34" i="3"/>
  <c r="DC34" i="3" s="1"/>
  <c r="DB14" i="3"/>
  <c r="DC14" i="3" s="1"/>
  <c r="DB47" i="3"/>
  <c r="DC47" i="3" s="1"/>
  <c r="DB7" i="3"/>
  <c r="DC7" i="3" s="1"/>
  <c r="DB11" i="3"/>
  <c r="DC11" i="3" s="1"/>
  <c r="DB18" i="3"/>
  <c r="DC18" i="3" s="1"/>
  <c r="DB13" i="3"/>
  <c r="DC13" i="3" s="1"/>
  <c r="DB6" i="3"/>
  <c r="DC6" i="3" s="1"/>
  <c r="DB36" i="3"/>
  <c r="DC36" i="3" s="1"/>
  <c r="DB39" i="3"/>
  <c r="DC39" i="3" s="1"/>
  <c r="DD35" i="3" l="1"/>
  <c r="BM35" i="3" s="1"/>
  <c r="DD32" i="3"/>
  <c r="BM32" i="3" s="1"/>
  <c r="DD47" i="3"/>
  <c r="BM47" i="3" s="1"/>
  <c r="DD31" i="3"/>
  <c r="BM31" i="3" s="1"/>
  <c r="DD51" i="3"/>
  <c r="BM51" i="3" s="1"/>
  <c r="DD24" i="3"/>
  <c r="BM24" i="3" s="1"/>
  <c r="DD42" i="3"/>
  <c r="BM42" i="3" s="1"/>
  <c r="DD53" i="3"/>
  <c r="BM53" i="3" s="1"/>
  <c r="DD28" i="3"/>
  <c r="BM28" i="3" s="1"/>
  <c r="DD43" i="3"/>
  <c r="BM43" i="3" s="1"/>
  <c r="DD40" i="3"/>
  <c r="BM40" i="3" s="1"/>
  <c r="DD13" i="3"/>
  <c r="BM13" i="3" s="1"/>
  <c r="DD6" i="3"/>
  <c r="BM6" i="3" s="1"/>
  <c r="DD15" i="3"/>
  <c r="BM15" i="3" s="1"/>
  <c r="DD18" i="3"/>
  <c r="BM18" i="3" s="1"/>
  <c r="DD12" i="3"/>
  <c r="BM12" i="3" s="1"/>
  <c r="DD17" i="3"/>
  <c r="BM17" i="3" s="1"/>
  <c r="DD41" i="3"/>
  <c r="BM41" i="3" s="1"/>
  <c r="DD27" i="3"/>
  <c r="BM27" i="3" s="1"/>
  <c r="DD30" i="3"/>
  <c r="BM30" i="3" s="1"/>
  <c r="DD39" i="3"/>
  <c r="BM39" i="3" s="1"/>
  <c r="DD20" i="3"/>
  <c r="BM20" i="3" s="1"/>
  <c r="DD34" i="3"/>
  <c r="BM34" i="3" s="1"/>
  <c r="DD9" i="3"/>
  <c r="BM9" i="3" s="1"/>
  <c r="DD37" i="3"/>
  <c r="BM37" i="3" s="1"/>
  <c r="DD19" i="3"/>
  <c r="BM19" i="3" s="1"/>
  <c r="DD14" i="3"/>
  <c r="BM14" i="3" s="1"/>
  <c r="DD11" i="3"/>
  <c r="BM11" i="3" s="1"/>
  <c r="DD29" i="3"/>
  <c r="BM29" i="3" s="1"/>
  <c r="DD38" i="3"/>
  <c r="BM38" i="3" s="1"/>
  <c r="DD21" i="3"/>
  <c r="BM21" i="3" s="1"/>
  <c r="DD8" i="3"/>
  <c r="BM8" i="3" s="1"/>
  <c r="DD23" i="3"/>
  <c r="BM23" i="3" s="1"/>
  <c r="DD25" i="3"/>
  <c r="BM25" i="3" s="1"/>
  <c r="DD26" i="3"/>
  <c r="BM26" i="3" s="1"/>
  <c r="DD52" i="3"/>
  <c r="BM52" i="3" s="1"/>
  <c r="DD46" i="3"/>
  <c r="BM46" i="3" s="1"/>
  <c r="DD49" i="3"/>
  <c r="BM49" i="3" s="1"/>
  <c r="DD36" i="3"/>
  <c r="BM36" i="3" s="1"/>
  <c r="DD48" i="3"/>
  <c r="BM48" i="3" s="1"/>
  <c r="DD16" i="3"/>
  <c r="BM16" i="3" s="1"/>
  <c r="DD45" i="3"/>
  <c r="BM45" i="3" s="1"/>
  <c r="DD7" i="3"/>
  <c r="BM7" i="3" s="1"/>
  <c r="DD22" i="3"/>
  <c r="BM22" i="3" s="1"/>
  <c r="DD10" i="3"/>
  <c r="BM10" i="3" s="1"/>
  <c r="DD50" i="3"/>
  <c r="BM50" i="3" s="1"/>
  <c r="DD33" i="3"/>
  <c r="BM33" i="3" s="1"/>
  <c r="DD44" i="3"/>
  <c r="BM44" i="3" s="1"/>
  <c r="DQ7" i="3" l="1"/>
  <c r="DJ7" i="3" s="1"/>
  <c r="DQ8" i="3"/>
  <c r="DJ8" i="3" s="1"/>
  <c r="AV80" i="3"/>
  <c r="DQ17" i="3"/>
  <c r="DJ17" i="3" s="1"/>
  <c r="AV25" i="3"/>
  <c r="AV24" i="3"/>
  <c r="AV14" i="3"/>
  <c r="DQ6" i="3"/>
  <c r="DJ6" i="3" s="1"/>
  <c r="AV78" i="3"/>
  <c r="DQ18" i="3"/>
  <c r="DJ18" i="3" s="1"/>
  <c r="AV46" i="3"/>
  <c r="AV22" i="3"/>
  <c r="AV89" i="3"/>
  <c r="AV49" i="3"/>
  <c r="DQ12" i="3"/>
  <c r="DJ12" i="3" s="1"/>
  <c r="DQ9" i="3"/>
  <c r="DJ9" i="3" s="1"/>
  <c r="DQ33" i="3"/>
  <c r="DJ33" i="3" s="1"/>
  <c r="AV54" i="3"/>
  <c r="DQ27" i="3"/>
  <c r="DJ27" i="3" s="1"/>
  <c r="DQ19" i="3"/>
  <c r="DJ19" i="3" s="1"/>
  <c r="AV57" i="3"/>
  <c r="DQ14" i="3"/>
  <c r="DJ14" i="3" s="1"/>
  <c r="AV62" i="3"/>
  <c r="AV40" i="3"/>
  <c r="AV95" i="3"/>
  <c r="AV15" i="3"/>
  <c r="DQ53" i="3"/>
  <c r="DJ53" i="3" s="1"/>
  <c r="AV70" i="3"/>
  <c r="DQ16" i="3"/>
  <c r="DJ16" i="3" s="1"/>
  <c r="DQ11" i="3"/>
  <c r="DJ11" i="3" s="1"/>
  <c r="DQ35" i="3"/>
  <c r="DJ35" i="3" s="1"/>
  <c r="AV88" i="3"/>
  <c r="DQ32" i="3"/>
  <c r="DJ32" i="3" s="1"/>
  <c r="AV56" i="3"/>
  <c r="DQ48" i="3"/>
  <c r="DJ48" i="3" s="1"/>
  <c r="AV17" i="3"/>
  <c r="DQ50" i="3"/>
  <c r="DJ50" i="3" s="1"/>
  <c r="AV79" i="3"/>
  <c r="DQ45" i="3"/>
  <c r="DJ45" i="3" s="1"/>
  <c r="AV87" i="3"/>
  <c r="AV47" i="3"/>
  <c r="DQ30" i="3"/>
  <c r="DJ30" i="3" s="1"/>
  <c r="AV32" i="3"/>
  <c r="DQ41" i="3"/>
  <c r="DJ41" i="3" s="1"/>
  <c r="AV65" i="3"/>
  <c r="AV72" i="3"/>
  <c r="DQ15" i="3"/>
  <c r="DJ15" i="3" s="1"/>
  <c r="DQ28" i="3"/>
  <c r="DJ28" i="3" s="1"/>
  <c r="DQ49" i="3"/>
  <c r="DJ49" i="3" s="1"/>
  <c r="AV86" i="3"/>
  <c r="DQ22" i="3"/>
  <c r="DJ22" i="3" s="1"/>
  <c r="DQ40" i="3"/>
  <c r="DJ40" i="3" s="1"/>
  <c r="DQ47" i="3"/>
  <c r="DJ47" i="3" s="1"/>
  <c r="DQ25" i="3"/>
  <c r="DJ25" i="3" s="1"/>
  <c r="DQ26" i="3"/>
  <c r="DJ26" i="3" s="1"/>
  <c r="DQ21" i="3"/>
  <c r="DJ21" i="3" s="1"/>
  <c r="DQ20" i="3"/>
  <c r="DJ20" i="3" s="1"/>
  <c r="DQ38" i="3"/>
  <c r="DJ38" i="3" s="1"/>
  <c r="AV38" i="3"/>
  <c r="AV71" i="3"/>
  <c r="AV41" i="3"/>
  <c r="DQ44" i="3"/>
  <c r="DJ44" i="3" s="1"/>
  <c r="DQ23" i="3"/>
  <c r="DJ23" i="3" s="1"/>
  <c r="AV64" i="3"/>
  <c r="DQ36" i="3"/>
  <c r="DJ36" i="3" s="1"/>
  <c r="AV8" i="3"/>
  <c r="DQ31" i="3"/>
  <c r="DJ31" i="3" s="1"/>
  <c r="DQ39" i="3"/>
  <c r="DJ39" i="3" s="1"/>
  <c r="DQ43" i="3"/>
  <c r="DJ43" i="3" s="1"/>
  <c r="AV55" i="3"/>
  <c r="AV33" i="3"/>
  <c r="AV16" i="3"/>
  <c r="DQ37" i="3"/>
  <c r="DJ37" i="3" s="1"/>
  <c r="AV39" i="3"/>
  <c r="AV31" i="3"/>
  <c r="AV9" i="3"/>
  <c r="AV30" i="3"/>
  <c r="DQ34" i="3"/>
  <c r="DJ34" i="3" s="1"/>
  <c r="DQ24" i="3"/>
  <c r="DJ24" i="3" s="1"/>
  <c r="DQ29" i="3"/>
  <c r="DJ29" i="3" s="1"/>
  <c r="AV48" i="3"/>
  <c r="AV6" i="3"/>
  <c r="AV97" i="3"/>
  <c r="DQ46" i="3"/>
  <c r="DJ46" i="3" s="1"/>
  <c r="AV96" i="3"/>
  <c r="AV63" i="3"/>
  <c r="AV81" i="3"/>
  <c r="DQ10" i="3"/>
  <c r="DJ10" i="3" s="1"/>
  <c r="DQ52" i="3"/>
  <c r="DJ52" i="3" s="1"/>
  <c r="AV7" i="3"/>
  <c r="DQ51" i="3"/>
  <c r="DJ51" i="3" s="1"/>
  <c r="AV73" i="3"/>
  <c r="AV23" i="3"/>
  <c r="DQ42" i="3"/>
  <c r="DJ42" i="3" s="1"/>
  <c r="AV94" i="3"/>
  <c r="DQ13" i="3"/>
  <c r="DJ13" i="3" s="1"/>
  <c r="DL33" i="3" l="1"/>
  <c r="AU57" i="3" s="1"/>
  <c r="DL31" i="3"/>
  <c r="AU55" i="3" s="1"/>
  <c r="DL32" i="3"/>
  <c r="AU56" i="3" s="1"/>
  <c r="DL30" i="3"/>
  <c r="AU54" i="3" s="1"/>
  <c r="DL25" i="3"/>
  <c r="AU41" i="3" s="1"/>
  <c r="DL11" i="3"/>
  <c r="DM11" i="3" s="1"/>
  <c r="DL52" i="3"/>
  <c r="AU96" i="3" s="1"/>
  <c r="DL37" i="3"/>
  <c r="AU65" i="3" s="1"/>
  <c r="DL49" i="3"/>
  <c r="AU89" i="3" s="1"/>
  <c r="DF8" i="3"/>
  <c r="DF7" i="3"/>
  <c r="DL27" i="3"/>
  <c r="AU47" i="3" s="1"/>
  <c r="DL13" i="3"/>
  <c r="AU17" i="3" s="1"/>
  <c r="DL10" i="3"/>
  <c r="AU14" i="3" s="1"/>
  <c r="DL14" i="3"/>
  <c r="DM14" i="3" s="1"/>
  <c r="DL46" i="3"/>
  <c r="AU86" i="3" s="1"/>
  <c r="DL18" i="3"/>
  <c r="AU30" i="3" s="1"/>
  <c r="DL43" i="3"/>
  <c r="AU79" i="3" s="1"/>
  <c r="DL9" i="3"/>
  <c r="AU9" i="3" s="1"/>
  <c r="DL50" i="3"/>
  <c r="DN50" i="3" s="1" a="1"/>
  <c r="DN50" i="3" s="1"/>
  <c r="DL8" i="3"/>
  <c r="AU8" i="3" s="1"/>
  <c r="DL6" i="3"/>
  <c r="AU6" i="3" s="1"/>
  <c r="DL45" i="3"/>
  <c r="DN45" i="3" s="1" a="1"/>
  <c r="DN45" i="3" s="1"/>
  <c r="DL16" i="3"/>
  <c r="AU24" i="3" s="1"/>
  <c r="DL22" i="3"/>
  <c r="AU38" i="3" s="1"/>
  <c r="DL48" i="3"/>
  <c r="AU88" i="3" s="1"/>
  <c r="DL47" i="3"/>
  <c r="AU87" i="3" s="1"/>
  <c r="DL7" i="3"/>
  <c r="DN7" i="3" s="1" a="1"/>
  <c r="DN7" i="3" s="1"/>
  <c r="DL40" i="3"/>
  <c r="AU72" i="3" s="1"/>
  <c r="DL21" i="3"/>
  <c r="AU33" i="3" s="1"/>
  <c r="DL51" i="3"/>
  <c r="AU95" i="3" s="1"/>
  <c r="DL28" i="3"/>
  <c r="AU48" i="3" s="1"/>
  <c r="DL15" i="3"/>
  <c r="AU23" i="3" s="1"/>
  <c r="DL53" i="3"/>
  <c r="AU97" i="3" s="1"/>
  <c r="DL12" i="3"/>
  <c r="AU16" i="3" s="1"/>
  <c r="DL20" i="3"/>
  <c r="DN20" i="3" s="1" a="1"/>
  <c r="DN20" i="3" s="1"/>
  <c r="DL41" i="3"/>
  <c r="DL36" i="3"/>
  <c r="AU64" i="3" s="1"/>
  <c r="DL19" i="3"/>
  <c r="AU31" i="3" s="1"/>
  <c r="DL26" i="3"/>
  <c r="DL35" i="3"/>
  <c r="AU63" i="3" s="1"/>
  <c r="DL29" i="3"/>
  <c r="DN29" i="3" s="1" a="1"/>
  <c r="DN29" i="3" s="1"/>
  <c r="DL24" i="3"/>
  <c r="AU40" i="3" s="1"/>
  <c r="DL23" i="3"/>
  <c r="AU39" i="3" s="1"/>
  <c r="DL42" i="3"/>
  <c r="AU78" i="3" s="1"/>
  <c r="DL34" i="3"/>
  <c r="AU62" i="3" s="1"/>
  <c r="DL44" i="3"/>
  <c r="AU80" i="3" s="1"/>
  <c r="DL39" i="3"/>
  <c r="AU71" i="3" s="1"/>
  <c r="DL38" i="3"/>
  <c r="AU70" i="3" s="1"/>
  <c r="DL17" i="3"/>
  <c r="AU25" i="3" s="1"/>
  <c r="DM33" i="3"/>
  <c r="DN31" i="3" a="1"/>
  <c r="DN31" i="3" s="1"/>
  <c r="DN33" i="3" l="1" a="1"/>
  <c r="DN33" i="3" s="1"/>
  <c r="DN49" i="3" a="1"/>
  <c r="DN49" i="3" s="1"/>
  <c r="DN32" i="3" a="1"/>
  <c r="DN32" i="3" s="1"/>
  <c r="DM25" i="3"/>
  <c r="DN30" i="3" a="1"/>
  <c r="DN30" i="3" s="1"/>
  <c r="DM32" i="3"/>
  <c r="DM31" i="3"/>
  <c r="DM30" i="3"/>
  <c r="DN25" i="3" a="1"/>
  <c r="DN25" i="3" s="1"/>
  <c r="DM13" i="3"/>
  <c r="DM52" i="3"/>
  <c r="DM51" i="3"/>
  <c r="DN52" i="3" a="1"/>
  <c r="DN52" i="3" s="1"/>
  <c r="DM10" i="3"/>
  <c r="DN11" i="3" a="1"/>
  <c r="DN11" i="3" s="1"/>
  <c r="DM40" i="3"/>
  <c r="AU15" i="3"/>
  <c r="AU13" i="3" s="1"/>
  <c r="AV12" i="3" s="1"/>
  <c r="DM37" i="3"/>
  <c r="DN19" i="3" a="1"/>
  <c r="DN19" i="3" s="1"/>
  <c r="DM34" i="3"/>
  <c r="DN37" i="3" a="1"/>
  <c r="DN37" i="3" s="1"/>
  <c r="DN34" i="3" a="1"/>
  <c r="DN34" i="3" s="1"/>
  <c r="DN46" i="3" a="1"/>
  <c r="DN46" i="3" s="1"/>
  <c r="DN51" i="3" a="1"/>
  <c r="DN51" i="3" s="1"/>
  <c r="DN28" i="3" a="1"/>
  <c r="DN28" i="3" s="1"/>
  <c r="DM19" i="3"/>
  <c r="DN43" i="3" a="1"/>
  <c r="DN43" i="3" s="1"/>
  <c r="DN27" i="3" a="1"/>
  <c r="DN27" i="3" s="1"/>
  <c r="DM35" i="3"/>
  <c r="DN18" i="3" a="1"/>
  <c r="DN18" i="3" s="1"/>
  <c r="DM46" i="3"/>
  <c r="DN16" i="3" a="1"/>
  <c r="DN16" i="3" s="1"/>
  <c r="DM53" i="3"/>
  <c r="DM49" i="3"/>
  <c r="DM22" i="3"/>
  <c r="DN17" i="3" a="1"/>
  <c r="DN17" i="3" s="1"/>
  <c r="DM16" i="3"/>
  <c r="DM28" i="3"/>
  <c r="DM15" i="3"/>
  <c r="AU85" i="3"/>
  <c r="AV84" i="3" s="1"/>
  <c r="DM17" i="3"/>
  <c r="DN42" i="3" a="1"/>
  <c r="DN42" i="3" s="1"/>
  <c r="AU61" i="3"/>
  <c r="AV60" i="3" s="1"/>
  <c r="DM36" i="3"/>
  <c r="DM42" i="3"/>
  <c r="DM20" i="3"/>
  <c r="AU37" i="3"/>
  <c r="AV36" i="3" s="1"/>
  <c r="DM6" i="3"/>
  <c r="DN6" i="3" a="1"/>
  <c r="DN6" i="3" s="1"/>
  <c r="DN8" i="3" a="1"/>
  <c r="DN8" i="3" s="1"/>
  <c r="DN38" i="3" a="1"/>
  <c r="DN38" i="3" s="1"/>
  <c r="DN36" i="3" a="1"/>
  <c r="DN36" i="3" s="1"/>
  <c r="DN40" i="3" a="1"/>
  <c r="DN40" i="3" s="1"/>
  <c r="DM24" i="3"/>
  <c r="DN47" i="3" a="1"/>
  <c r="DN47" i="3" s="1"/>
  <c r="DM27" i="3"/>
  <c r="DM21" i="3"/>
  <c r="DN13" i="3" a="1"/>
  <c r="DN13" i="3" s="1"/>
  <c r="DM8" i="3"/>
  <c r="DN21" i="3" a="1"/>
  <c r="DN21" i="3" s="1"/>
  <c r="DM38" i="3"/>
  <c r="DN10" i="3" a="1"/>
  <c r="DN10" i="3" s="1"/>
  <c r="DN39" i="3" a="1"/>
  <c r="DN39" i="3" s="1"/>
  <c r="DM44" i="3"/>
  <c r="DM23" i="3"/>
  <c r="DN22" i="3" a="1"/>
  <c r="DN22" i="3" s="1"/>
  <c r="DM29" i="3"/>
  <c r="AU46" i="3"/>
  <c r="DN26" i="3" a="1"/>
  <c r="DN26" i="3" s="1"/>
  <c r="DM26" i="3"/>
  <c r="DN24" i="3" a="1"/>
  <c r="DN24" i="3" s="1"/>
  <c r="DM48" i="3"/>
  <c r="AU49" i="3"/>
  <c r="DM50" i="3"/>
  <c r="AU81" i="3"/>
  <c r="AU77" i="3" s="1"/>
  <c r="AV76" i="3" s="1"/>
  <c r="DM45" i="3"/>
  <c r="AU22" i="3"/>
  <c r="AU21" i="3" s="1"/>
  <c r="AV20" i="3" s="1"/>
  <c r="DN14" i="3" a="1"/>
  <c r="DN14" i="3" s="1"/>
  <c r="AU32" i="3"/>
  <c r="AU29" i="3" s="1"/>
  <c r="AV28" i="3" s="1"/>
  <c r="DN44" i="3" a="1"/>
  <c r="DN44" i="3" s="1"/>
  <c r="DN35" i="3" a="1"/>
  <c r="DN35" i="3" s="1"/>
  <c r="DN48" i="3" a="1"/>
  <c r="DN48" i="3" s="1"/>
  <c r="AU94" i="3"/>
  <c r="AU93" i="3" s="1"/>
  <c r="AV92" i="3" s="1"/>
  <c r="DM43" i="3"/>
  <c r="DM9" i="3"/>
  <c r="DM47" i="3"/>
  <c r="DN12" i="3" a="1"/>
  <c r="DN12" i="3" s="1"/>
  <c r="DM7" i="3"/>
  <c r="DN9" i="3" a="1"/>
  <c r="DN9" i="3" s="1"/>
  <c r="DM12" i="3"/>
  <c r="DN53" i="3" a="1"/>
  <c r="DN53" i="3" s="1"/>
  <c r="DM39" i="3"/>
  <c r="AU7" i="3"/>
  <c r="AU5" i="3" s="1"/>
  <c r="AV4" i="3" s="1"/>
  <c r="DM18" i="3"/>
  <c r="DN15" i="3" a="1"/>
  <c r="DN15" i="3" s="1"/>
  <c r="DN23" i="3" a="1"/>
  <c r="DN23" i="3" s="1"/>
  <c r="AU73" i="3"/>
  <c r="AU69" i="3" s="1"/>
  <c r="AV68" i="3" s="1"/>
  <c r="DM41" i="3"/>
  <c r="DN41" i="3" a="1"/>
  <c r="DN41" i="3" s="1"/>
  <c r="AU53" i="3"/>
  <c r="AV52" i="3" s="1"/>
  <c r="DF10" i="3" l="1"/>
  <c r="DF16" i="3"/>
  <c r="DF12" i="3"/>
  <c r="DF24" i="3"/>
  <c r="DF21" i="3"/>
  <c r="DF9" i="3"/>
  <c r="DF23" i="3"/>
  <c r="DF19" i="3"/>
  <c r="DF25" i="3"/>
  <c r="AU45" i="3"/>
  <c r="AV44" i="3" s="1"/>
  <c r="DF37" i="3" s="1"/>
  <c r="DF22" i="3"/>
  <c r="DF14" i="3"/>
  <c r="DF18" i="3"/>
  <c r="DF20" i="3" l="1"/>
  <c r="DF15" i="3"/>
  <c r="DF11" i="3"/>
  <c r="DF6" i="3"/>
  <c r="DF17" i="3"/>
  <c r="DF13" i="3"/>
  <c r="DF50" i="3"/>
  <c r="DF31" i="3"/>
  <c r="DF34" i="3"/>
  <c r="DF29" i="3"/>
  <c r="DF47" i="3"/>
  <c r="DF43" i="3"/>
  <c r="DF26" i="3"/>
  <c r="DF28" i="3"/>
  <c r="DF41" i="3"/>
  <c r="DF44" i="3"/>
  <c r="DF40" i="3"/>
  <c r="DF51" i="3"/>
  <c r="DF39" i="3"/>
  <c r="DF36" i="3"/>
  <c r="DF45" i="3"/>
  <c r="DF33" i="3"/>
  <c r="DF42" i="3"/>
  <c r="DF48" i="3"/>
  <c r="DF30" i="3"/>
  <c r="DF49" i="3"/>
  <c r="DF52" i="3"/>
  <c r="DF35" i="3"/>
  <c r="DF38" i="3"/>
  <c r="DF27" i="3"/>
  <c r="DF53" i="3"/>
  <c r="DF32" i="3"/>
  <c r="DF46" i="3"/>
  <c r="DG32" i="3" l="1"/>
  <c r="DG48" i="3"/>
  <c r="DG53" i="3"/>
  <c r="DG14" i="3"/>
  <c r="DG18" i="3"/>
  <c r="DG17" i="3"/>
  <c r="DG15" i="3"/>
  <c r="DG16" i="3"/>
  <c r="DG23" i="3"/>
  <c r="DG20" i="3"/>
  <c r="DG21" i="3"/>
  <c r="DG19" i="3"/>
  <c r="DG25" i="3"/>
  <c r="DG22" i="3"/>
  <c r="DG27" i="3"/>
  <c r="DG24" i="3"/>
  <c r="DG28" i="3"/>
  <c r="DG26" i="3"/>
  <c r="DG37" i="3"/>
  <c r="DG29" i="3"/>
  <c r="DG35" i="3"/>
  <c r="DG36" i="3"/>
  <c r="DG34" i="3"/>
  <c r="DG31" i="3"/>
  <c r="DG41" i="3"/>
  <c r="DG33" i="3"/>
  <c r="DG30" i="3"/>
  <c r="DG38" i="3"/>
  <c r="DG52" i="3"/>
  <c r="DG39" i="3"/>
  <c r="DG49" i="3"/>
  <c r="DG40" i="3"/>
  <c r="DG44" i="3"/>
  <c r="DG42" i="3"/>
  <c r="DG45" i="3"/>
  <c r="DG43" i="3"/>
  <c r="DG47" i="3"/>
  <c r="DG46" i="3"/>
  <c r="DG50" i="3"/>
  <c r="DG51" i="3"/>
  <c r="DG13" i="3"/>
  <c r="DG11" i="3"/>
  <c r="DG7" i="3"/>
  <c r="DG6" i="3"/>
  <c r="DG9" i="3"/>
  <c r="DG8" i="3"/>
  <c r="DG12" i="3"/>
  <c r="DG10" i="3"/>
  <c r="DH10" i="3" l="1"/>
  <c r="BN10" i="3" s="1"/>
  <c r="DH32" i="3"/>
  <c r="BN32" i="3" s="1"/>
  <c r="DH33" i="3"/>
  <c r="BN33" i="3" s="1"/>
  <c r="DH25" i="3"/>
  <c r="BN25" i="3" s="1"/>
  <c r="DH23" i="3"/>
  <c r="BN23" i="3" s="1"/>
  <c r="DH20" i="3"/>
  <c r="BN20" i="3" s="1"/>
  <c r="DH22" i="3"/>
  <c r="BN22" i="3" s="1"/>
  <c r="DH31" i="3"/>
  <c r="BN31" i="3" s="1"/>
  <c r="DH42" i="3"/>
  <c r="BN42" i="3" s="1"/>
  <c r="DH53" i="3"/>
  <c r="BN53" i="3" s="1"/>
  <c r="DH13" i="3"/>
  <c r="BN13" i="3" s="1"/>
  <c r="DH34" i="3"/>
  <c r="BN34" i="3" s="1"/>
  <c r="DH11" i="3"/>
  <c r="BN11" i="3" s="1"/>
  <c r="DH44" i="3"/>
  <c r="BN44" i="3" s="1"/>
  <c r="DH14" i="3"/>
  <c r="BN14" i="3" s="1"/>
  <c r="DH16" i="3"/>
  <c r="BN16" i="3" s="1"/>
  <c r="DH19" i="3"/>
  <c r="BN19" i="3" s="1"/>
  <c r="DH7" i="3"/>
  <c r="BN7" i="3" s="1"/>
  <c r="DH51" i="3"/>
  <c r="BN51" i="3" s="1"/>
  <c r="DH39" i="3"/>
  <c r="BN39" i="3" s="1"/>
  <c r="DH49" i="3"/>
  <c r="BN49" i="3" s="1"/>
  <c r="DH18" i="3"/>
  <c r="BN18" i="3" s="1"/>
  <c r="DH21" i="3"/>
  <c r="BN21" i="3" s="1"/>
  <c r="DH41" i="3"/>
  <c r="BN41" i="3" s="1"/>
  <c r="DH48" i="3"/>
  <c r="BN48" i="3" s="1"/>
  <c r="DH36" i="3"/>
  <c r="BN36" i="3" s="1"/>
  <c r="DH35" i="3"/>
  <c r="BN35" i="3" s="1"/>
  <c r="DH45" i="3"/>
  <c r="BN45" i="3" s="1"/>
  <c r="DH27" i="3"/>
  <c r="BN27" i="3" s="1"/>
  <c r="DH52" i="3"/>
  <c r="BN52" i="3" s="1"/>
  <c r="DH17" i="3"/>
  <c r="BN17" i="3" s="1"/>
  <c r="DH47" i="3"/>
  <c r="BN47" i="3" s="1"/>
  <c r="DH26" i="3"/>
  <c r="BN26" i="3" s="1"/>
  <c r="DH46" i="3"/>
  <c r="BN46" i="3" s="1"/>
  <c r="DH29" i="3"/>
  <c r="BN29" i="3" s="1"/>
  <c r="DH28" i="3"/>
  <c r="BN28" i="3" s="1"/>
  <c r="DH38" i="3"/>
  <c r="BN38" i="3" s="1"/>
  <c r="DH40" i="3"/>
  <c r="BN40" i="3" s="1"/>
  <c r="DH15" i="3"/>
  <c r="BN15" i="3" s="1"/>
  <c r="DH24" i="3"/>
  <c r="BN24" i="3" s="1"/>
  <c r="DH37" i="3"/>
  <c r="BN37" i="3" s="1"/>
  <c r="DH43" i="3"/>
  <c r="BN43" i="3" s="1"/>
  <c r="DH50" i="3"/>
  <c r="BN50" i="3" s="1"/>
  <c r="DH30" i="3"/>
  <c r="BN30" i="3" s="1"/>
  <c r="DH6" i="3"/>
  <c r="BN6" i="3" s="1"/>
  <c r="DH8" i="3"/>
  <c r="BN8" i="3" s="1"/>
  <c r="DH9" i="3"/>
  <c r="BN9" i="3" s="1"/>
  <c r="DH12" i="3"/>
  <c r="BN12" i="3" s="1"/>
  <c r="AL6" i="3" l="1"/>
  <c r="AK6" i="3" s="1" a="1"/>
  <c r="AK6" i="3" s="1"/>
  <c r="AL14" i="3"/>
  <c r="AT14" i="3" s="1"/>
  <c r="J12" i="45" s="1"/>
  <c r="AL8" i="3"/>
  <c r="H6" i="45" s="1"/>
  <c r="BD58" i="3"/>
  <c r="BI58" i="3" s="1"/>
  <c r="AL7" i="3"/>
  <c r="M101" i="3" s="1"/>
  <c r="AA101" i="3" s="1"/>
  <c r="C130" i="31" s="1"/>
  <c r="AL9" i="3"/>
  <c r="AL15" i="3"/>
  <c r="AL38" i="3"/>
  <c r="AL88" i="3"/>
  <c r="AL97" i="3"/>
  <c r="AL49" i="3"/>
  <c r="BD69" i="3"/>
  <c r="BI69" i="3" s="1"/>
  <c r="AL70" i="3"/>
  <c r="BD60" i="3"/>
  <c r="BG60" i="3" s="1"/>
  <c r="AL25" i="3"/>
  <c r="AL56" i="3"/>
  <c r="AL63" i="3"/>
  <c r="AL80" i="3"/>
  <c r="BD66" i="3"/>
  <c r="BG66" i="3" s="1"/>
  <c r="BD65" i="3"/>
  <c r="BI65" i="3" s="1"/>
  <c r="AL57" i="3"/>
  <c r="AL16" i="3"/>
  <c r="AL96" i="3"/>
  <c r="AL71" i="3"/>
  <c r="BD68" i="3"/>
  <c r="BH68" i="3" s="1"/>
  <c r="AL64" i="3"/>
  <c r="AL94" i="3"/>
  <c r="AL24" i="3"/>
  <c r="AL32" i="3"/>
  <c r="AL81" i="3"/>
  <c r="AL79" i="3"/>
  <c r="AL31" i="3"/>
  <c r="BD62" i="3"/>
  <c r="BG62" i="3" s="1"/>
  <c r="AL73" i="3"/>
  <c r="AL54" i="3"/>
  <c r="BD67" i="3"/>
  <c r="AL55" i="3"/>
  <c r="AL47" i="3"/>
  <c r="AL72" i="3"/>
  <c r="AL89" i="3"/>
  <c r="AL23" i="3"/>
  <c r="AL30" i="3"/>
  <c r="BH60" i="3"/>
  <c r="BD64" i="3"/>
  <c r="BH64" i="3" s="1"/>
  <c r="AL39" i="3"/>
  <c r="AL41" i="3"/>
  <c r="AL46" i="3"/>
  <c r="BI60" i="3"/>
  <c r="AL86" i="3"/>
  <c r="AL87" i="3"/>
  <c r="AL78" i="3"/>
  <c r="AL17" i="3"/>
  <c r="AL62" i="3"/>
  <c r="AL40" i="3"/>
  <c r="AL33" i="3"/>
  <c r="BD59" i="3"/>
  <c r="BH59" i="3" s="1"/>
  <c r="AL65" i="3"/>
  <c r="BD61" i="3"/>
  <c r="BG61" i="3" s="1"/>
  <c r="AL22" i="3"/>
  <c r="AL48" i="3"/>
  <c r="BD63" i="3"/>
  <c r="BG63" i="3" s="1"/>
  <c r="AL95" i="3"/>
  <c r="BG69" i="3" l="1"/>
  <c r="BG64" i="3"/>
  <c r="BG65" i="3"/>
  <c r="BI63" i="3"/>
  <c r="BH65" i="3"/>
  <c r="BI59" i="3"/>
  <c r="BG58" i="3"/>
  <c r="BH62" i="3"/>
  <c r="BG68" i="3"/>
  <c r="BH69" i="3"/>
  <c r="BH58" i="3"/>
  <c r="BH66" i="3"/>
  <c r="BI62" i="3"/>
  <c r="BI68" i="3"/>
  <c r="BI61" i="3"/>
  <c r="BH61" i="3"/>
  <c r="BI64" i="3"/>
  <c r="BG67" i="3"/>
  <c r="BI66" i="3"/>
  <c r="BH63" i="3"/>
  <c r="BF63" i="3" s="1"/>
  <c r="BJ63" i="3" s="1"/>
  <c r="BH67" i="3"/>
  <c r="BG59" i="3"/>
  <c r="BF59" i="3" s="1"/>
  <c r="BJ59" i="3" s="1"/>
  <c r="BI67" i="3"/>
  <c r="M107" i="3"/>
  <c r="AA107" i="3" s="1"/>
  <c r="AA33" i="45" s="1"/>
  <c r="H4" i="45"/>
  <c r="AO6" i="3"/>
  <c r="AM6" i="3"/>
  <c r="I4" i="45" s="1"/>
  <c r="AN6" i="3"/>
  <c r="AR6" i="3"/>
  <c r="AA9" i="45"/>
  <c r="AP14" i="3"/>
  <c r="AQ14" i="3"/>
  <c r="AQ6" i="3"/>
  <c r="AP6" i="3"/>
  <c r="AS6" i="3"/>
  <c r="AT6" i="3"/>
  <c r="J4" i="45" s="1"/>
  <c r="H12" i="45"/>
  <c r="AK14" i="3" a="1"/>
  <c r="AK14" i="3" s="1"/>
  <c r="M113" i="3"/>
  <c r="AA113" i="3" s="1"/>
  <c r="D113" i="3" s="1"/>
  <c r="AK8" i="3" a="1"/>
  <c r="AK8" i="3" s="1"/>
  <c r="AO8" i="3"/>
  <c r="AP8" i="3"/>
  <c r="AM14" i="3"/>
  <c r="I12" i="45" s="1"/>
  <c r="AM8" i="3"/>
  <c r="I6" i="45" s="1"/>
  <c r="AO14" i="3"/>
  <c r="AT8" i="3"/>
  <c r="J6" i="45" s="1"/>
  <c r="G176" i="40"/>
  <c r="G221" i="40"/>
  <c r="G225" i="40"/>
  <c r="G202" i="40"/>
  <c r="G394" i="40"/>
  <c r="G424" i="40"/>
  <c r="F168" i="40"/>
  <c r="G357" i="40"/>
  <c r="G276" i="40"/>
  <c r="G490" i="40"/>
  <c r="G413" i="40"/>
  <c r="G478" i="40"/>
  <c r="G265" i="40"/>
  <c r="G362" i="40"/>
  <c r="G215" i="40"/>
  <c r="F336" i="40"/>
  <c r="G279" i="40"/>
  <c r="G214" i="40"/>
  <c r="G355" i="40"/>
  <c r="G222" i="40"/>
  <c r="G401" i="40"/>
  <c r="G273" i="40"/>
  <c r="G333" i="40"/>
  <c r="G261" i="40"/>
  <c r="G330" i="40"/>
  <c r="G321" i="40"/>
  <c r="G174" i="40"/>
  <c r="G378" i="40"/>
  <c r="F342" i="40"/>
  <c r="G369" i="40"/>
  <c r="G484" i="40"/>
  <c r="G328" i="40"/>
  <c r="G430" i="40"/>
  <c r="G313" i="40"/>
  <c r="G402" i="40"/>
  <c r="G181" i="40"/>
  <c r="F288" i="40"/>
  <c r="G304" i="40"/>
  <c r="G308" i="40"/>
  <c r="G203" i="40"/>
  <c r="G453" i="40"/>
  <c r="F306" i="40"/>
  <c r="G438" i="40"/>
  <c r="G239" i="40"/>
  <c r="G404" i="40"/>
  <c r="G477" i="40"/>
  <c r="G245" i="40"/>
  <c r="G257" i="40"/>
  <c r="G435" i="40"/>
  <c r="G322" i="40"/>
  <c r="G434" i="40"/>
  <c r="G292" i="40"/>
  <c r="G444" i="40"/>
  <c r="G348" i="40"/>
  <c r="G194" i="40"/>
  <c r="G255" i="40"/>
  <c r="G216" i="40"/>
  <c r="G172" i="40"/>
  <c r="G349" i="40"/>
  <c r="G354" i="40"/>
  <c r="G351" i="40"/>
  <c r="G417" i="40"/>
  <c r="G384" i="40"/>
  <c r="G474" i="40"/>
  <c r="G460" i="40"/>
  <c r="G386" i="40"/>
  <c r="G263" i="40"/>
  <c r="G278" i="40"/>
  <c r="G305" i="40"/>
  <c r="G379" i="40"/>
  <c r="G237" i="40"/>
  <c r="G312" i="40"/>
  <c r="G229" i="40"/>
  <c r="G374" i="40"/>
  <c r="G223" i="40"/>
  <c r="G446" i="40"/>
  <c r="G445" i="40"/>
  <c r="G457" i="40"/>
  <c r="F398" i="40"/>
  <c r="G427" i="40"/>
  <c r="G380" i="40"/>
  <c r="G212" i="40"/>
  <c r="G234" i="40"/>
  <c r="G249" i="40"/>
  <c r="G244" i="40"/>
  <c r="G412" i="40"/>
  <c r="G213" i="40"/>
  <c r="F298" i="40"/>
  <c r="G347" i="40"/>
  <c r="G389" i="40"/>
  <c r="G246" i="40"/>
  <c r="G437" i="40"/>
  <c r="G385" i="40"/>
  <c r="G241" i="40"/>
  <c r="G317" i="40"/>
  <c r="G405" i="40"/>
  <c r="G303" i="40"/>
  <c r="G236" i="40"/>
  <c r="G250" i="40"/>
  <c r="G189" i="40"/>
  <c r="G353" i="40"/>
  <c r="G173" i="40"/>
  <c r="G271" i="40"/>
  <c r="G277" i="40"/>
  <c r="G436" i="40"/>
  <c r="G481" i="40"/>
  <c r="G400" i="40"/>
  <c r="G370" i="40"/>
  <c r="G406" i="40"/>
  <c r="G200" i="40"/>
  <c r="G483" i="40"/>
  <c r="G270" i="40"/>
  <c r="G316" i="40"/>
  <c r="G495" i="40"/>
  <c r="G345" i="40"/>
  <c r="G192" i="40"/>
  <c r="G433" i="40"/>
  <c r="G366" i="40"/>
  <c r="F300" i="40"/>
  <c r="G491" i="40"/>
  <c r="G387" i="40"/>
  <c r="G311" i="40"/>
  <c r="G440" i="40"/>
  <c r="G190" i="40"/>
  <c r="G175" i="40"/>
  <c r="F296" i="40"/>
  <c r="G320" i="40"/>
  <c r="G455" i="40"/>
  <c r="G493" i="40"/>
  <c r="G243" i="40"/>
  <c r="G170" i="40"/>
  <c r="G488" i="40"/>
  <c r="G335" i="40"/>
  <c r="F295" i="40"/>
  <c r="G197" i="40"/>
  <c r="G422" i="40"/>
  <c r="G449" i="40"/>
  <c r="G395" i="40"/>
  <c r="G269" i="40"/>
  <c r="G178" i="40"/>
  <c r="G356" i="40"/>
  <c r="G469" i="40"/>
  <c r="G367" i="40"/>
  <c r="G407" i="40"/>
  <c r="G183" i="40"/>
  <c r="G171" i="40"/>
  <c r="G240" i="40"/>
  <c r="G227" i="40"/>
  <c r="G339" i="40"/>
  <c r="G187" i="40"/>
  <c r="G337" i="40"/>
  <c r="G331" i="40"/>
  <c r="G471" i="40"/>
  <c r="G425" i="40"/>
  <c r="G459" i="40"/>
  <c r="G284" i="40"/>
  <c r="G285" i="40"/>
  <c r="G260" i="40"/>
  <c r="G494" i="40"/>
  <c r="G226" i="40"/>
  <c r="G350" i="40"/>
  <c r="G492" i="40"/>
  <c r="G169" i="40"/>
  <c r="G329" i="40"/>
  <c r="G323" i="40"/>
  <c r="G325" i="40"/>
  <c r="G207" i="40"/>
  <c r="G466" i="40"/>
  <c r="G439" i="40"/>
  <c r="G251" i="40"/>
  <c r="G193" i="40"/>
  <c r="G450" i="40"/>
  <c r="G233" i="40"/>
  <c r="G377" i="40"/>
  <c r="G486" i="40"/>
  <c r="G489" i="40"/>
  <c r="G397" i="40"/>
  <c r="G326" i="40"/>
  <c r="G324" i="40"/>
  <c r="G428" i="40"/>
  <c r="G319" i="40"/>
  <c r="F297" i="40"/>
  <c r="G224" i="40"/>
  <c r="G396" i="40"/>
  <c r="G334" i="40"/>
  <c r="G180" i="40"/>
  <c r="G238" i="40"/>
  <c r="G358" i="40"/>
  <c r="G403" i="40"/>
  <c r="G242" i="40"/>
  <c r="G302" i="40"/>
  <c r="G361" i="40"/>
  <c r="G485" i="40"/>
  <c r="G177" i="40"/>
  <c r="G196" i="40"/>
  <c r="G463" i="40"/>
  <c r="G340" i="40"/>
  <c r="G418" i="40"/>
  <c r="G217" i="40"/>
  <c r="G454" i="40"/>
  <c r="G343" i="40"/>
  <c r="G371" i="40"/>
  <c r="G301" i="40"/>
  <c r="G235" i="40"/>
  <c r="G266" i="40"/>
  <c r="G195" i="40"/>
  <c r="G210" i="40"/>
  <c r="G211" i="40"/>
  <c r="G476" i="40"/>
  <c r="G267" i="40"/>
  <c r="G352" i="40"/>
  <c r="G414" i="40"/>
  <c r="G420" i="40"/>
  <c r="G259" i="40"/>
  <c r="G472" i="40"/>
  <c r="G373" i="40"/>
  <c r="G409" i="40"/>
  <c r="G253" i="40"/>
  <c r="G468" i="40"/>
  <c r="G219" i="40"/>
  <c r="G188" i="40"/>
  <c r="G382" i="40"/>
  <c r="G376" i="40"/>
  <c r="G204" i="40"/>
  <c r="G388" i="40"/>
  <c r="G364" i="40"/>
  <c r="G274" i="40"/>
  <c r="G281" i="40"/>
  <c r="G218" i="40"/>
  <c r="G268" i="40"/>
  <c r="G451" i="40"/>
  <c r="G473" i="40"/>
  <c r="G447" i="40"/>
  <c r="G365" i="40"/>
  <c r="G310" i="40"/>
  <c r="G293" i="40"/>
  <c r="G408" i="40"/>
  <c r="G359" i="40"/>
  <c r="G198" i="40"/>
  <c r="G338" i="40"/>
  <c r="G393" i="40"/>
  <c r="G275" i="40"/>
  <c r="G205" i="40"/>
  <c r="G346" i="40"/>
  <c r="G228" i="40"/>
  <c r="G426" i="40"/>
  <c r="G465" i="40"/>
  <c r="G314" i="40"/>
  <c r="G256" i="40"/>
  <c r="G467" i="40"/>
  <c r="G262" i="40"/>
  <c r="G452" i="40"/>
  <c r="G423" i="40"/>
  <c r="G201" i="40"/>
  <c r="G429" i="40"/>
  <c r="G344" i="40"/>
  <c r="G206" i="40"/>
  <c r="F291" i="40"/>
  <c r="F287" i="40"/>
  <c r="G363" i="40"/>
  <c r="G432" i="40"/>
  <c r="G232" i="40"/>
  <c r="G390" i="40"/>
  <c r="G462" i="40"/>
  <c r="G480" i="40"/>
  <c r="G186" i="40"/>
  <c r="G179" i="40"/>
  <c r="G184" i="40"/>
  <c r="G464" i="40"/>
  <c r="G482" i="40"/>
  <c r="G283" i="40"/>
  <c r="G441" i="40"/>
  <c r="G307" i="40"/>
  <c r="G496" i="40"/>
  <c r="G443" i="40"/>
  <c r="G383" i="40"/>
  <c r="G167" i="40"/>
  <c r="G456" i="40"/>
  <c r="G230" i="40"/>
  <c r="G290" i="40"/>
  <c r="G391" i="40"/>
  <c r="G252" i="40"/>
  <c r="G182" i="40"/>
  <c r="G282" i="40"/>
  <c r="G248" i="40"/>
  <c r="G254" i="40"/>
  <c r="F392" i="40"/>
  <c r="G208" i="40"/>
  <c r="G479" i="40"/>
  <c r="G332" i="40"/>
  <c r="G448" i="40"/>
  <c r="G286" i="40"/>
  <c r="F294" i="40"/>
  <c r="G341" i="40"/>
  <c r="G470" i="40"/>
  <c r="G231" i="40"/>
  <c r="G461" i="40"/>
  <c r="G372" i="40"/>
  <c r="G419" i="40"/>
  <c r="G289" i="40"/>
  <c r="G411" i="40"/>
  <c r="G209" i="40"/>
  <c r="G399" i="40"/>
  <c r="G315" i="40"/>
  <c r="G360" i="40"/>
  <c r="G247" i="40"/>
  <c r="G220" i="40"/>
  <c r="G258" i="40"/>
  <c r="G318" i="40"/>
  <c r="G185" i="40"/>
  <c r="G415" i="40"/>
  <c r="G309" i="40"/>
  <c r="G199" i="40"/>
  <c r="G375" i="40"/>
  <c r="G368" i="40"/>
  <c r="G475" i="40"/>
  <c r="G381" i="40"/>
  <c r="G442" i="40"/>
  <c r="G280" i="40"/>
  <c r="G431" i="40"/>
  <c r="F299" i="40"/>
  <c r="G487" i="40"/>
  <c r="G416" i="40"/>
  <c r="G421" i="40"/>
  <c r="G264" i="40"/>
  <c r="G191" i="40"/>
  <c r="G272" i="40"/>
  <c r="G410" i="40"/>
  <c r="G327" i="40"/>
  <c r="G458" i="40"/>
  <c r="AR14" i="3"/>
  <c r="AN14" i="3"/>
  <c r="AS14" i="3"/>
  <c r="AN8" i="3"/>
  <c r="AR8" i="3"/>
  <c r="AQ8" i="3"/>
  <c r="AS8" i="3"/>
  <c r="AO7" i="3"/>
  <c r="AR7" i="3"/>
  <c r="H5" i="45"/>
  <c r="AT7" i="3"/>
  <c r="J5" i="45" s="1"/>
  <c r="AK7" i="3" a="1"/>
  <c r="AK7" i="3" s="1"/>
  <c r="AM7" i="3"/>
  <c r="I5" i="45" s="1"/>
  <c r="AS7" i="3"/>
  <c r="AQ7" i="3"/>
  <c r="AN7" i="3"/>
  <c r="AP7" i="3"/>
  <c r="AR9" i="3"/>
  <c r="AT9" i="3"/>
  <c r="J7" i="45" s="1"/>
  <c r="AM9" i="3"/>
  <c r="I7" i="45" s="1"/>
  <c r="AK9" i="3" a="1"/>
  <c r="AK9" i="3" s="1"/>
  <c r="AO9" i="3"/>
  <c r="H7" i="45"/>
  <c r="AQ9" i="3"/>
  <c r="AN9" i="3"/>
  <c r="AP9" i="3"/>
  <c r="AS9" i="3"/>
  <c r="AK15" i="3" a="1"/>
  <c r="AK15" i="3" s="1"/>
  <c r="AT15" i="3"/>
  <c r="J13" i="45" s="1"/>
  <c r="N101" i="3"/>
  <c r="AF101" i="3" s="1"/>
  <c r="D101" i="3" s="1"/>
  <c r="AS15" i="3"/>
  <c r="AR15" i="3"/>
  <c r="AO15" i="3"/>
  <c r="AN15" i="3"/>
  <c r="AM15" i="3"/>
  <c r="I13" i="45" s="1"/>
  <c r="H13" i="45"/>
  <c r="AQ15" i="3"/>
  <c r="AP15" i="3"/>
  <c r="D81" i="40"/>
  <c r="D144" i="40"/>
  <c r="D478" i="40"/>
  <c r="H295" i="40"/>
  <c r="H168" i="40"/>
  <c r="D200" i="40"/>
  <c r="D258" i="40"/>
  <c r="D244" i="40"/>
  <c r="D103" i="40"/>
  <c r="H83" i="40"/>
  <c r="H307" i="40"/>
  <c r="H375" i="40"/>
  <c r="D184" i="40"/>
  <c r="D286" i="40"/>
  <c r="H170" i="40"/>
  <c r="H290" i="40"/>
  <c r="D25" i="40"/>
  <c r="D16" i="40"/>
  <c r="D88" i="40"/>
  <c r="D309" i="40"/>
  <c r="H51" i="40"/>
  <c r="D19" i="40"/>
  <c r="D11" i="40"/>
  <c r="D433" i="40"/>
  <c r="H384" i="40"/>
  <c r="D14" i="40"/>
  <c r="D124" i="40"/>
  <c r="D475" i="40"/>
  <c r="D250" i="40"/>
  <c r="D383" i="40"/>
  <c r="D259" i="40"/>
  <c r="H211" i="40"/>
  <c r="H346" i="40"/>
  <c r="D139" i="40"/>
  <c r="D390" i="40"/>
  <c r="D160" i="40"/>
  <c r="H305" i="40"/>
  <c r="D145" i="40"/>
  <c r="D45" i="40"/>
  <c r="H298" i="40"/>
  <c r="H373" i="40"/>
  <c r="D222" i="40"/>
  <c r="D313" i="40"/>
  <c r="D479" i="40"/>
  <c r="D280" i="40"/>
  <c r="H12" i="40"/>
  <c r="D265" i="40"/>
  <c r="H175" i="40"/>
  <c r="D257" i="40"/>
  <c r="D7" i="40"/>
  <c r="D137" i="40"/>
  <c r="D425" i="40"/>
  <c r="D221" i="40"/>
  <c r="D57" i="40"/>
  <c r="D285" i="40"/>
  <c r="D493" i="40"/>
  <c r="D41" i="40"/>
  <c r="D261" i="40"/>
  <c r="D454" i="40"/>
  <c r="H350" i="40"/>
  <c r="D115" i="40"/>
  <c r="H292" i="40"/>
  <c r="D460" i="40"/>
  <c r="D234" i="40"/>
  <c r="D227" i="40"/>
  <c r="D37" i="40"/>
  <c r="D368" i="40"/>
  <c r="H328" i="40"/>
  <c r="D38" i="40"/>
  <c r="D206" i="40"/>
  <c r="D260" i="40"/>
  <c r="D201" i="40"/>
  <c r="D199" i="40"/>
  <c r="D173" i="40"/>
  <c r="H372" i="40"/>
  <c r="D187" i="40"/>
  <c r="D17" i="40"/>
  <c r="D143" i="40"/>
  <c r="D422" i="40"/>
  <c r="H376" i="40"/>
  <c r="D166" i="40"/>
  <c r="D123" i="40"/>
  <c r="D27" i="40"/>
  <c r="D225" i="40"/>
  <c r="D474" i="40"/>
  <c r="D363" i="40"/>
  <c r="D262" i="40"/>
  <c r="D426" i="40"/>
  <c r="D58" i="40"/>
  <c r="D243" i="40"/>
  <c r="D279" i="40"/>
  <c r="D366" i="40"/>
  <c r="D333" i="40"/>
  <c r="D335" i="40"/>
  <c r="D473" i="40"/>
  <c r="D436" i="40"/>
  <c r="D452" i="40"/>
  <c r="D140" i="40"/>
  <c r="D197" i="40"/>
  <c r="D146" i="40"/>
  <c r="D77" i="40"/>
  <c r="D457" i="40"/>
  <c r="D228" i="40"/>
  <c r="D405" i="40"/>
  <c r="D163" i="40"/>
  <c r="H320" i="40"/>
  <c r="D421" i="40"/>
  <c r="H403" i="40"/>
  <c r="H50" i="40"/>
  <c r="D224" i="40"/>
  <c r="D28" i="40"/>
  <c r="D76" i="40"/>
  <c r="D116" i="40"/>
  <c r="D161" i="40"/>
  <c r="D102" i="40"/>
  <c r="D453" i="40"/>
  <c r="H53" i="40"/>
  <c r="D171" i="40"/>
  <c r="D205" i="40"/>
  <c r="D282" i="40"/>
  <c r="D180" i="40"/>
  <c r="D198" i="40"/>
  <c r="H316" i="40"/>
  <c r="D235" i="40"/>
  <c r="D251" i="40"/>
  <c r="D60" i="40"/>
  <c r="D9" i="40"/>
  <c r="D461" i="40"/>
  <c r="D476" i="40"/>
  <c r="H4" i="40"/>
  <c r="D306" i="40"/>
  <c r="D458" i="40"/>
  <c r="D130" i="40"/>
  <c r="H55" i="40"/>
  <c r="H397" i="40"/>
  <c r="D158" i="40"/>
  <c r="H319" i="40"/>
  <c r="D207" i="40"/>
  <c r="H326" i="40"/>
  <c r="D122" i="40"/>
  <c r="D492" i="40"/>
  <c r="H67" i="40"/>
  <c r="D128" i="40"/>
  <c r="D364" i="40"/>
  <c r="D46" i="40"/>
  <c r="D18" i="40"/>
  <c r="D10" i="40"/>
  <c r="D185" i="40"/>
  <c r="D370" i="40"/>
  <c r="D387" i="40"/>
  <c r="D236" i="40"/>
  <c r="D59" i="40"/>
  <c r="D226" i="40"/>
  <c r="D404" i="40"/>
  <c r="D196" i="40"/>
  <c r="D61" i="40"/>
  <c r="H310" i="40"/>
  <c r="D318" i="40"/>
  <c r="D159" i="40"/>
  <c r="D89" i="40"/>
  <c r="D230" i="40"/>
  <c r="H94" i="40"/>
  <c r="D418" i="40"/>
  <c r="D233" i="40"/>
  <c r="D79" i="40"/>
  <c r="D43" i="40"/>
  <c r="D440" i="40"/>
  <c r="D42" i="40"/>
  <c r="H385" i="40"/>
  <c r="D480" i="40"/>
  <c r="H347" i="40"/>
  <c r="D334" i="40"/>
  <c r="D110" i="40"/>
  <c r="D362" i="40"/>
  <c r="D44" i="40"/>
  <c r="D420" i="40"/>
  <c r="D177" i="40"/>
  <c r="D101" i="40"/>
  <c r="D8" i="40"/>
  <c r="D278" i="40"/>
  <c r="D232" i="40"/>
  <c r="H183" i="40"/>
  <c r="D39" i="40"/>
  <c r="H66" i="40"/>
  <c r="H289" i="40"/>
  <c r="H402" i="40"/>
  <c r="D195" i="40"/>
  <c r="D208" i="40"/>
  <c r="D297" i="40"/>
  <c r="D266" i="40"/>
  <c r="D202" i="40"/>
  <c r="D245" i="40"/>
  <c r="D74" i="40"/>
  <c r="D401" i="40"/>
  <c r="D391" i="40"/>
  <c r="D248" i="40"/>
  <c r="D75" i="40"/>
  <c r="D423" i="40"/>
  <c r="D142" i="40"/>
  <c r="D22" i="40"/>
  <c r="D365" i="40"/>
  <c r="D52" i="40"/>
  <c r="D281" i="40"/>
  <c r="H91" i="40"/>
  <c r="D388" i="40"/>
  <c r="H311" i="40"/>
  <c r="D456" i="40"/>
  <c r="D481" i="40"/>
  <c r="D23" i="40"/>
  <c r="D179" i="40"/>
  <c r="D87" i="40"/>
  <c r="D114" i="40"/>
  <c r="D369" i="40"/>
  <c r="D424" i="40"/>
  <c r="D164" i="40"/>
  <c r="H296" i="40"/>
  <c r="D65" i="40"/>
  <c r="D131" i="40"/>
  <c r="D73" i="40"/>
  <c r="D126" i="40"/>
  <c r="D477" i="40"/>
  <c r="D31" i="40"/>
  <c r="D439" i="40"/>
  <c r="H400" i="40"/>
  <c r="D214" i="40"/>
  <c r="D172" i="40"/>
  <c r="D93" i="40"/>
  <c r="H48" i="40"/>
  <c r="D165" i="40"/>
  <c r="D398" i="40"/>
  <c r="D174" i="40"/>
  <c r="H432" i="40"/>
  <c r="D264" i="40"/>
  <c r="D215" i="40"/>
  <c r="D80" i="40"/>
  <c r="D247" i="40"/>
  <c r="D327" i="40"/>
  <c r="D459" i="40"/>
  <c r="D78" i="40"/>
  <c r="D162" i="40"/>
  <c r="H317" i="40"/>
  <c r="D229" i="40"/>
  <c r="D186" i="40"/>
  <c r="H344" i="40"/>
  <c r="D389" i="40"/>
  <c r="D277" i="40"/>
  <c r="D82" i="40"/>
  <c r="D213" i="40"/>
  <c r="D419" i="40"/>
  <c r="D349" i="40"/>
  <c r="D194" i="40"/>
  <c r="D496" i="40"/>
  <c r="H63" i="40"/>
  <c r="D223" i="40"/>
  <c r="H47" i="40"/>
  <c r="H343" i="40"/>
  <c r="H406" i="40"/>
  <c r="D40" i="40"/>
  <c r="H64" i="40"/>
  <c r="H434" i="40"/>
  <c r="H299" i="40"/>
  <c r="D472" i="40"/>
  <c r="D242" i="40"/>
  <c r="D3" i="40"/>
  <c r="H341" i="40"/>
  <c r="D109" i="40"/>
  <c r="D361" i="40"/>
  <c r="D348" i="40"/>
  <c r="D331" i="40"/>
  <c r="H399" i="40"/>
  <c r="D386" i="40"/>
  <c r="D113" i="40"/>
  <c r="H329" i="40"/>
  <c r="H203" i="40"/>
  <c r="D127" i="40"/>
  <c r="D129" i="40"/>
  <c r="D284" i="40"/>
  <c r="D108" i="40"/>
  <c r="D178" i="40"/>
  <c r="H2" i="40"/>
  <c r="D438" i="40"/>
  <c r="D441" i="40"/>
  <c r="D157" i="40"/>
  <c r="D374" i="40"/>
  <c r="D246" i="40"/>
  <c r="D112" i="40"/>
  <c r="D193" i="40"/>
  <c r="D417" i="40"/>
  <c r="D106" i="40"/>
  <c r="D125" i="40"/>
  <c r="D249" i="40"/>
  <c r="D21" i="40"/>
  <c r="D181" i="40"/>
  <c r="H293" i="40"/>
  <c r="H382" i="40"/>
  <c r="D107" i="40"/>
  <c r="H95" i="40"/>
  <c r="D345" i="40"/>
  <c r="D29" i="40"/>
  <c r="D6" i="40"/>
  <c r="H92" i="40"/>
  <c r="D212" i="40"/>
  <c r="D85" i="40"/>
  <c r="D283" i="40"/>
  <c r="D105" i="40"/>
  <c r="H435" i="40"/>
  <c r="D291" i="40"/>
  <c r="H54" i="40"/>
  <c r="D209" i="40"/>
  <c r="H308" i="40"/>
  <c r="D332" i="40"/>
  <c r="D494" i="40"/>
  <c r="D455" i="40"/>
  <c r="D141" i="40"/>
  <c r="D86" i="40"/>
  <c r="D104" i="40"/>
  <c r="D138" i="40"/>
  <c r="H287" i="40"/>
  <c r="D24" i="40"/>
  <c r="D312" i="40"/>
  <c r="D15" i="40"/>
  <c r="D342" i="40"/>
  <c r="D30" i="40"/>
  <c r="H314" i="40"/>
  <c r="D367" i="40"/>
  <c r="D437" i="40"/>
  <c r="H167" i="40"/>
  <c r="D495" i="40"/>
  <c r="D330" i="40"/>
  <c r="D263" i="40"/>
  <c r="AQ89" i="3"/>
  <c r="AM89" i="3"/>
  <c r="U39" i="45" s="1"/>
  <c r="AN89" i="3"/>
  <c r="AK89" i="3" a="1"/>
  <c r="AK89" i="3" s="1"/>
  <c r="AR89" i="3"/>
  <c r="T39" i="45"/>
  <c r="AP89" i="3"/>
  <c r="AO89" i="3"/>
  <c r="AS89" i="3"/>
  <c r="AT89" i="3"/>
  <c r="V39" i="45" s="1"/>
  <c r="AM81" i="3"/>
  <c r="U31" i="45" s="1"/>
  <c r="AK81" i="3" a="1"/>
  <c r="AK81" i="3" s="1"/>
  <c r="AN81" i="3"/>
  <c r="AS81" i="3"/>
  <c r="T31" i="45"/>
  <c r="AR81" i="3"/>
  <c r="AO81" i="3"/>
  <c r="AT81" i="3"/>
  <c r="V31" i="45" s="1"/>
  <c r="AP81" i="3"/>
  <c r="AQ81" i="3"/>
  <c r="J232" i="40"/>
  <c r="J237" i="40"/>
  <c r="J239" i="40"/>
  <c r="J137" i="40"/>
  <c r="J150" i="40"/>
  <c r="J313" i="40"/>
  <c r="J81" i="40"/>
  <c r="J393" i="40"/>
  <c r="J15" i="40"/>
  <c r="J183" i="40"/>
  <c r="J175" i="40"/>
  <c r="J153" i="40"/>
  <c r="J79" i="40"/>
  <c r="J400" i="40"/>
  <c r="J52" i="40"/>
  <c r="J421" i="40"/>
  <c r="J459" i="40"/>
  <c r="J243" i="40"/>
  <c r="J450" i="40"/>
  <c r="J205" i="40"/>
  <c r="J357" i="40"/>
  <c r="J190" i="40"/>
  <c r="J181" i="40"/>
  <c r="J486" i="40"/>
  <c r="J111" i="40"/>
  <c r="J31" i="40"/>
  <c r="J340" i="40"/>
  <c r="J203" i="40"/>
  <c r="J309" i="40"/>
  <c r="J112" i="40"/>
  <c r="J43" i="40"/>
  <c r="J317" i="40"/>
  <c r="J289" i="40"/>
  <c r="J440" i="40"/>
  <c r="J74" i="40"/>
  <c r="J197" i="40"/>
  <c r="J311" i="40"/>
  <c r="J141" i="40"/>
  <c r="J13" i="40"/>
  <c r="J396" i="40"/>
  <c r="J96" i="40"/>
  <c r="J21" i="40"/>
  <c r="J465" i="40"/>
  <c r="J100" i="40"/>
  <c r="J188" i="40"/>
  <c r="J325" i="40"/>
  <c r="J37" i="40"/>
  <c r="J374" i="40"/>
  <c r="J279" i="40"/>
  <c r="J28" i="40"/>
  <c r="J167" i="40"/>
  <c r="J34" i="40"/>
  <c r="J49" i="40"/>
  <c r="J116" i="40"/>
  <c r="J368" i="40"/>
  <c r="J345" i="40"/>
  <c r="J388" i="40"/>
  <c r="J436" i="40"/>
  <c r="J238" i="40"/>
  <c r="J392" i="40"/>
  <c r="J454" i="40"/>
  <c r="J337" i="40"/>
  <c r="J398" i="40"/>
  <c r="J349" i="40"/>
  <c r="J296" i="40"/>
  <c r="J323" i="40"/>
  <c r="J132" i="40"/>
  <c r="J170" i="40"/>
  <c r="J4" i="40"/>
  <c r="J438" i="40"/>
  <c r="J394" i="40"/>
  <c r="J23" i="40"/>
  <c r="J250" i="40"/>
  <c r="J245" i="40"/>
  <c r="J217" i="40"/>
  <c r="J462" i="40"/>
  <c r="J179" i="40"/>
  <c r="J123" i="40"/>
  <c r="J277" i="40"/>
  <c r="J270" i="40"/>
  <c r="J212" i="40"/>
  <c r="J69" i="40"/>
  <c r="J429" i="40"/>
  <c r="J253" i="40"/>
  <c r="J192" i="40"/>
  <c r="J8" i="40"/>
  <c r="J25" i="40"/>
  <c r="J413" i="40"/>
  <c r="J76" i="40"/>
  <c r="J355" i="40"/>
  <c r="J151" i="40"/>
  <c r="J297" i="40"/>
  <c r="J257" i="40"/>
  <c r="J365" i="40"/>
  <c r="J134" i="40"/>
  <c r="J443" i="40"/>
  <c r="J361" i="40"/>
  <c r="J293" i="40"/>
  <c r="J300" i="40"/>
  <c r="J397" i="40"/>
  <c r="J332" i="40"/>
  <c r="J210" i="40"/>
  <c r="J221" i="40"/>
  <c r="J252" i="40"/>
  <c r="J284" i="40"/>
  <c r="J161" i="40"/>
  <c r="J220" i="40"/>
  <c r="J381" i="40"/>
  <c r="J301" i="40"/>
  <c r="J342" i="40"/>
  <c r="J338" i="40"/>
  <c r="J288" i="40"/>
  <c r="J189" i="40"/>
  <c r="J211" i="40"/>
  <c r="J290" i="40"/>
  <c r="J140" i="40"/>
  <c r="J327" i="40"/>
  <c r="J347" i="40"/>
  <c r="J371" i="40"/>
  <c r="J92" i="40"/>
  <c r="J177" i="40"/>
  <c r="J415" i="40"/>
  <c r="J302" i="40"/>
  <c r="J241" i="40"/>
  <c r="J102" i="40"/>
  <c r="J114" i="40"/>
  <c r="J109" i="40"/>
  <c r="J171" i="40"/>
  <c r="J363" i="40"/>
  <c r="J19" i="40"/>
  <c r="J50" i="40"/>
  <c r="J206" i="40"/>
  <c r="J73" i="40"/>
  <c r="J401" i="40"/>
  <c r="J184" i="40"/>
  <c r="J20" i="40"/>
  <c r="J336" i="40"/>
  <c r="J231" i="40"/>
  <c r="J435" i="40"/>
  <c r="J236" i="40"/>
  <c r="J225" i="40"/>
  <c r="J101" i="40"/>
  <c r="J32" i="40"/>
  <c r="J260" i="40"/>
  <c r="J321" i="40"/>
  <c r="J128" i="40"/>
  <c r="J157" i="40"/>
  <c r="J428" i="40"/>
  <c r="J427" i="40"/>
  <c r="J382" i="40"/>
  <c r="J169" i="40"/>
  <c r="J62" i="40"/>
  <c r="J378" i="40"/>
  <c r="J273" i="40"/>
  <c r="J218" i="40"/>
  <c r="J472" i="40"/>
  <c r="J155" i="40"/>
  <c r="J77" i="40"/>
  <c r="J299" i="40"/>
  <c r="J383" i="40"/>
  <c r="J147" i="40"/>
  <c r="J463" i="40"/>
  <c r="J234" i="40"/>
  <c r="J372" i="40"/>
  <c r="J403" i="40"/>
  <c r="J22" i="40"/>
  <c r="J90" i="40"/>
  <c r="J194" i="40"/>
  <c r="J2" i="40"/>
  <c r="J68" i="40"/>
  <c r="J308" i="40"/>
  <c r="J178" i="40"/>
  <c r="J12" i="40"/>
  <c r="J377" i="40"/>
  <c r="J468" i="40"/>
  <c r="J493" i="40"/>
  <c r="J113" i="40"/>
  <c r="J104" i="40"/>
  <c r="J26" i="40"/>
  <c r="J93" i="40"/>
  <c r="J54" i="40"/>
  <c r="J320" i="40"/>
  <c r="J341" i="40"/>
  <c r="J56" i="40"/>
  <c r="J484" i="40"/>
  <c r="J11" i="40"/>
  <c r="J482" i="40"/>
  <c r="J329" i="40"/>
  <c r="J456" i="40"/>
  <c r="J275" i="40"/>
  <c r="J354" i="40"/>
  <c r="J265" i="40"/>
  <c r="J33" i="40"/>
  <c r="J126" i="40"/>
  <c r="J125" i="40"/>
  <c r="J89" i="40"/>
  <c r="J466" i="40"/>
  <c r="J411" i="40"/>
  <c r="J432" i="40"/>
  <c r="J316" i="40"/>
  <c r="J38" i="40"/>
  <c r="J72" i="40"/>
  <c r="J390" i="40"/>
  <c r="J304" i="40"/>
  <c r="J6" i="40"/>
  <c r="J479" i="40"/>
  <c r="J287" i="40"/>
  <c r="J133" i="40"/>
  <c r="J199" i="40"/>
  <c r="J281" i="40"/>
  <c r="J29" i="40"/>
  <c r="J18" i="40"/>
  <c r="J258" i="40"/>
  <c r="J185" i="40"/>
  <c r="J3" i="40"/>
  <c r="J83" i="40"/>
  <c r="J196" i="40"/>
  <c r="J58" i="40"/>
  <c r="J256" i="40"/>
  <c r="J470" i="40"/>
  <c r="J209" i="40"/>
  <c r="J294" i="40"/>
  <c r="J474" i="40"/>
  <c r="J45" i="40"/>
  <c r="J97" i="40"/>
  <c r="J48" i="40"/>
  <c r="J159" i="40"/>
  <c r="J222" i="40"/>
  <c r="J385" i="40"/>
  <c r="J254" i="40"/>
  <c r="J98" i="40"/>
  <c r="J40" i="40"/>
  <c r="J248" i="40"/>
  <c r="J105" i="40"/>
  <c r="J65" i="40"/>
  <c r="J448" i="40"/>
  <c r="J47" i="40"/>
  <c r="J84" i="40"/>
  <c r="J305" i="40"/>
  <c r="J87" i="40"/>
  <c r="J64" i="40"/>
  <c r="J352" i="40"/>
  <c r="J373" i="40"/>
  <c r="J130" i="40"/>
  <c r="J424" i="40"/>
  <c r="J204" i="40"/>
  <c r="J145" i="40"/>
  <c r="J7" i="40"/>
  <c r="J176" i="40"/>
  <c r="J119" i="40"/>
  <c r="J405" i="40"/>
  <c r="J224" i="40"/>
  <c r="J417" i="40"/>
  <c r="J330" i="40"/>
  <c r="J376" i="40"/>
  <c r="J95" i="40"/>
  <c r="J138" i="40"/>
  <c r="J168" i="40"/>
  <c r="J419" i="40"/>
  <c r="J306" i="40"/>
  <c r="J291" i="40"/>
  <c r="J85" i="40"/>
  <c r="J263" i="40"/>
  <c r="J326" i="40"/>
  <c r="J407" i="40"/>
  <c r="J187" i="40"/>
  <c r="J271" i="40"/>
  <c r="J57" i="40"/>
  <c r="J227" i="40"/>
  <c r="J351" i="40"/>
  <c r="J121" i="40"/>
  <c r="J59" i="40"/>
  <c r="J5" i="40"/>
  <c r="J67" i="40"/>
  <c r="J452" i="40"/>
  <c r="J55" i="40"/>
  <c r="J70" i="40"/>
  <c r="J143" i="40"/>
  <c r="J295" i="40"/>
  <c r="J51" i="40"/>
  <c r="J193" i="40"/>
  <c r="J172" i="40"/>
  <c r="J63" i="40"/>
  <c r="J379" i="40"/>
  <c r="J107" i="40"/>
  <c r="J174" i="40"/>
  <c r="J10" i="40"/>
  <c r="J182" i="40"/>
  <c r="J261" i="40"/>
  <c r="J359" i="40"/>
  <c r="J215" i="40"/>
  <c r="J489" i="40"/>
  <c r="J476" i="40"/>
  <c r="J315" i="40"/>
  <c r="J267" i="40"/>
  <c r="J246" i="40"/>
  <c r="J344" i="40"/>
  <c r="J16" i="40"/>
  <c r="J27" i="40"/>
  <c r="J442" i="40"/>
  <c r="J431" i="40"/>
  <c r="J445" i="40"/>
  <c r="J91" i="40"/>
  <c r="J410" i="40"/>
  <c r="J136" i="40"/>
  <c r="J118" i="40"/>
  <c r="J41" i="40"/>
  <c r="J36" i="40"/>
  <c r="J207" i="40"/>
  <c r="J213" i="40"/>
  <c r="J268" i="40"/>
  <c r="J122" i="40"/>
  <c r="J216" i="40"/>
  <c r="J14" i="40"/>
  <c r="J446" i="40"/>
  <c r="J86" i="40"/>
  <c r="J164" i="40"/>
  <c r="J318" i="40"/>
  <c r="J386" i="40"/>
  <c r="J334" i="40"/>
  <c r="J322" i="40"/>
  <c r="J229" i="40"/>
  <c r="J242" i="40"/>
  <c r="J201" i="40"/>
  <c r="J61" i="40"/>
  <c r="J148" i="40"/>
  <c r="J433" i="40"/>
  <c r="J233" i="40"/>
  <c r="J408" i="40"/>
  <c r="J117" i="40"/>
  <c r="AN80" i="3"/>
  <c r="AS80" i="3"/>
  <c r="AT80" i="3"/>
  <c r="V30" i="45" s="1"/>
  <c r="AP80" i="3"/>
  <c r="AQ80" i="3"/>
  <c r="AM80" i="3"/>
  <c r="U30" i="45" s="1"/>
  <c r="AK80" i="3" a="1"/>
  <c r="AK80" i="3" s="1"/>
  <c r="AO80" i="3"/>
  <c r="AR80" i="3"/>
  <c r="T30" i="45"/>
  <c r="F307" i="40"/>
  <c r="H163" i="40"/>
  <c r="H101" i="40"/>
  <c r="H102" i="40"/>
  <c r="H223" i="40"/>
  <c r="F53" i="40"/>
  <c r="H125" i="40"/>
  <c r="F47" i="40"/>
  <c r="H491" i="40"/>
  <c r="H368" i="40"/>
  <c r="H230" i="40"/>
  <c r="H331" i="40"/>
  <c r="H69" i="40"/>
  <c r="H354" i="40"/>
  <c r="H89" i="40"/>
  <c r="H16" i="40"/>
  <c r="F312" i="40"/>
  <c r="H177" i="40"/>
  <c r="H362" i="40"/>
  <c r="H196" i="40"/>
  <c r="H72" i="40"/>
  <c r="H222" i="40"/>
  <c r="H128" i="40"/>
  <c r="H486" i="40"/>
  <c r="H445" i="40"/>
  <c r="H88" i="40"/>
  <c r="H426" i="40"/>
  <c r="H422" i="40"/>
  <c r="H285" i="40"/>
  <c r="H251" i="40"/>
  <c r="H388" i="40"/>
  <c r="H425" i="40"/>
  <c r="E246" i="40"/>
  <c r="H75" i="40"/>
  <c r="H224" i="40"/>
  <c r="H494" i="40"/>
  <c r="H76" i="40"/>
  <c r="F167" i="40"/>
  <c r="H484" i="40"/>
  <c r="H421" i="40"/>
  <c r="H160" i="40"/>
  <c r="H13" i="40"/>
  <c r="H377" i="40"/>
  <c r="H192" i="40"/>
  <c r="F301" i="40"/>
  <c r="F290" i="40"/>
  <c r="H118" i="40"/>
  <c r="E238" i="40"/>
  <c r="H97" i="40"/>
  <c r="H126" i="40"/>
  <c r="H8" i="40"/>
  <c r="H323" i="40"/>
  <c r="F305" i="40"/>
  <c r="F310" i="40"/>
  <c r="H159" i="40"/>
  <c r="F309" i="40"/>
  <c r="H105" i="40"/>
  <c r="H335" i="40"/>
  <c r="C326" i="40"/>
  <c r="H23" i="40"/>
  <c r="H412" i="40"/>
  <c r="H229" i="40"/>
  <c r="H487" i="40"/>
  <c r="H390" i="40"/>
  <c r="H217" i="40"/>
  <c r="H11" i="40"/>
  <c r="H389" i="40"/>
  <c r="H58" i="40"/>
  <c r="H457" i="40"/>
  <c r="H387" i="40"/>
  <c r="H181" i="40"/>
  <c r="H325" i="40"/>
  <c r="H270" i="40"/>
  <c r="H419" i="40"/>
  <c r="H324" i="40"/>
  <c r="D446" i="40"/>
  <c r="H277" i="40"/>
  <c r="H221" i="40"/>
  <c r="H321" i="40"/>
  <c r="H60" i="40"/>
  <c r="H176" i="40"/>
  <c r="H369" i="40"/>
  <c r="F173" i="40"/>
  <c r="H364" i="40"/>
  <c r="H218" i="40"/>
  <c r="H34" i="40"/>
  <c r="H248" i="40"/>
  <c r="H454" i="40"/>
  <c r="F384" i="40"/>
  <c r="H409" i="40"/>
  <c r="H355" i="40"/>
  <c r="F302" i="40"/>
  <c r="H150" i="40"/>
  <c r="H460" i="40"/>
  <c r="H33" i="40"/>
  <c r="E271" i="40"/>
  <c r="H495" i="40"/>
  <c r="H359" i="40"/>
  <c r="H103" i="40"/>
  <c r="H38" i="40"/>
  <c r="H247" i="40"/>
  <c r="H417" i="40"/>
  <c r="H85" i="40"/>
  <c r="H225" i="40"/>
  <c r="H418" i="40"/>
  <c r="H148" i="40"/>
  <c r="F50" i="40"/>
  <c r="H483" i="40"/>
  <c r="E283" i="40"/>
  <c r="H117" i="40"/>
  <c r="H189" i="40"/>
  <c r="H413" i="40"/>
  <c r="H109" i="40"/>
  <c r="H39" i="40"/>
  <c r="H243" i="40"/>
  <c r="H151" i="40"/>
  <c r="H269" i="40"/>
  <c r="H209" i="40"/>
  <c r="H300" i="40"/>
  <c r="H100" i="40"/>
  <c r="H442" i="40"/>
  <c r="H424" i="40"/>
  <c r="D488" i="40"/>
  <c r="H448" i="40"/>
  <c r="H207" i="40"/>
  <c r="H408" i="40"/>
  <c r="H244" i="40"/>
  <c r="H120" i="40"/>
  <c r="H179" i="40"/>
  <c r="H455" i="40"/>
  <c r="H110" i="40"/>
  <c r="H356" i="40"/>
  <c r="H416" i="40"/>
  <c r="H281" i="40"/>
  <c r="F303" i="40"/>
  <c r="H284" i="40"/>
  <c r="H70" i="40"/>
  <c r="H193" i="40"/>
  <c r="H195" i="40"/>
  <c r="E275" i="40"/>
  <c r="H180" i="40"/>
  <c r="H327" i="40"/>
  <c r="E250" i="40"/>
  <c r="H165" i="40"/>
  <c r="H73" i="40"/>
  <c r="F172" i="40"/>
  <c r="F304" i="40"/>
  <c r="H46" i="40"/>
  <c r="H322" i="40"/>
  <c r="H407" i="40"/>
  <c r="H80" i="40"/>
  <c r="E249" i="40"/>
  <c r="H194" i="40"/>
  <c r="H245" i="40"/>
  <c r="H127" i="40"/>
  <c r="H119" i="40"/>
  <c r="H444" i="40"/>
  <c r="E274" i="40"/>
  <c r="H17" i="40"/>
  <c r="H206" i="40"/>
  <c r="F170" i="40"/>
  <c r="D449" i="40"/>
  <c r="F293" i="40"/>
  <c r="H452" i="40"/>
  <c r="H273" i="40"/>
  <c r="C329" i="40"/>
  <c r="H414" i="40"/>
  <c r="H353" i="40"/>
  <c r="H45" i="40"/>
  <c r="E272" i="40"/>
  <c r="H129" i="40"/>
  <c r="H161" i="40"/>
  <c r="H152" i="40"/>
  <c r="H365" i="40"/>
  <c r="H330" i="40"/>
  <c r="H57" i="40"/>
  <c r="H25" i="40"/>
  <c r="H6" i="40"/>
  <c r="H286" i="40"/>
  <c r="H456" i="40"/>
  <c r="H18" i="40"/>
  <c r="H131" i="40"/>
  <c r="F174" i="40"/>
  <c r="F314" i="40"/>
  <c r="H15" i="40"/>
  <c r="H358" i="40"/>
  <c r="H82" i="40"/>
  <c r="H228" i="40"/>
  <c r="H164" i="40"/>
  <c r="H98" i="40"/>
  <c r="H276" i="40"/>
  <c r="H351" i="40"/>
  <c r="H357" i="40"/>
  <c r="H7" i="40"/>
  <c r="H153" i="40"/>
  <c r="H87" i="40"/>
  <c r="H78" i="40"/>
  <c r="H420" i="40"/>
  <c r="F171" i="40"/>
  <c r="H130" i="40"/>
  <c r="H333" i="40"/>
  <c r="H32" i="40"/>
  <c r="H391" i="40"/>
  <c r="H9" i="40"/>
  <c r="H208" i="40"/>
  <c r="H190" i="40"/>
  <c r="E240" i="40"/>
  <c r="D239" i="40"/>
  <c r="H35" i="40"/>
  <c r="H96" i="40"/>
  <c r="H482" i="40"/>
  <c r="H492" i="40"/>
  <c r="H496" i="40"/>
  <c r="H44" i="40"/>
  <c r="H43" i="40"/>
  <c r="F292" i="40"/>
  <c r="F382" i="40"/>
  <c r="H108" i="40"/>
  <c r="H380" i="40"/>
  <c r="H81" i="40"/>
  <c r="H291" i="40"/>
  <c r="H458" i="40"/>
  <c r="H220" i="40"/>
  <c r="H200" i="40"/>
  <c r="C328" i="40"/>
  <c r="F52" i="40"/>
  <c r="H461" i="40"/>
  <c r="H86" i="40"/>
  <c r="F49" i="40"/>
  <c r="F308" i="40"/>
  <c r="H489" i="40"/>
  <c r="H5" i="40"/>
  <c r="H42" i="40"/>
  <c r="H493" i="40"/>
  <c r="H36" i="40"/>
  <c r="H201" i="40"/>
  <c r="H198" i="40"/>
  <c r="H22" i="40"/>
  <c r="H77" i="40"/>
  <c r="H121" i="40"/>
  <c r="H20" i="40"/>
  <c r="H104" i="40"/>
  <c r="E241" i="40"/>
  <c r="H411" i="40"/>
  <c r="F385" i="40"/>
  <c r="H162" i="40"/>
  <c r="H415" i="40"/>
  <c r="H363" i="40"/>
  <c r="H14" i="40"/>
  <c r="H332" i="40"/>
  <c r="H381" i="40"/>
  <c r="H267" i="40"/>
  <c r="H360" i="40"/>
  <c r="H37" i="40"/>
  <c r="H226" i="40"/>
  <c r="H352" i="40"/>
  <c r="H202" i="40"/>
  <c r="H227" i="40"/>
  <c r="H178" i="40"/>
  <c r="H166" i="40"/>
  <c r="H490" i="40"/>
  <c r="H188" i="40"/>
  <c r="H204" i="40"/>
  <c r="H306" i="40"/>
  <c r="F289" i="40"/>
  <c r="H288" i="40"/>
  <c r="H154" i="40"/>
  <c r="H268" i="40"/>
  <c r="H423" i="40"/>
  <c r="H282" i="40"/>
  <c r="H386" i="40"/>
  <c r="H149" i="40"/>
  <c r="F2" i="40"/>
  <c r="D450" i="40"/>
  <c r="H106" i="40"/>
  <c r="H216" i="40"/>
  <c r="H147" i="40"/>
  <c r="H447" i="40"/>
  <c r="H410" i="40"/>
  <c r="H367" i="40"/>
  <c r="H41" i="40"/>
  <c r="H21" i="40"/>
  <c r="H366" i="40"/>
  <c r="H122" i="40"/>
  <c r="H370" i="40"/>
  <c r="H219" i="40"/>
  <c r="F54" i="40"/>
  <c r="F51" i="40"/>
  <c r="H99" i="40"/>
  <c r="H158" i="40"/>
  <c r="H453" i="40"/>
  <c r="H278" i="40"/>
  <c r="H197" i="40"/>
  <c r="H156" i="40"/>
  <c r="F311" i="40"/>
  <c r="H123" i="40"/>
  <c r="H40" i="40"/>
  <c r="H191" i="40"/>
  <c r="H242" i="40"/>
  <c r="H124" i="40"/>
  <c r="H199" i="40"/>
  <c r="F313" i="40"/>
  <c r="H56" i="40"/>
  <c r="H24" i="40"/>
  <c r="H334" i="40"/>
  <c r="H74" i="40"/>
  <c r="H10" i="40"/>
  <c r="F169" i="40"/>
  <c r="H378" i="40"/>
  <c r="H459" i="40"/>
  <c r="H361" i="40"/>
  <c r="H280" i="40"/>
  <c r="H155" i="40"/>
  <c r="H451" i="40"/>
  <c r="H79" i="40"/>
  <c r="H383" i="40"/>
  <c r="H379" i="40"/>
  <c r="H485" i="40"/>
  <c r="H84" i="40"/>
  <c r="H279" i="40"/>
  <c r="H59" i="40"/>
  <c r="H107" i="40"/>
  <c r="H205" i="40"/>
  <c r="H71" i="40"/>
  <c r="H3" i="40"/>
  <c r="H443" i="40"/>
  <c r="H237" i="40"/>
  <c r="H61" i="40"/>
  <c r="H68" i="40"/>
  <c r="H157" i="40"/>
  <c r="F185" i="40"/>
  <c r="F152" i="40"/>
  <c r="F182" i="40"/>
  <c r="F486" i="40"/>
  <c r="H114" i="40"/>
  <c r="F326" i="40"/>
  <c r="F162" i="40"/>
  <c r="F282" i="40"/>
  <c r="H441" i="40"/>
  <c r="H31" i="40"/>
  <c r="F5" i="40"/>
  <c r="I284" i="40"/>
  <c r="F80" i="40"/>
  <c r="H465" i="40"/>
  <c r="F349" i="40"/>
  <c r="H481" i="40"/>
  <c r="F237" i="40"/>
  <c r="H474" i="40"/>
  <c r="F444" i="40"/>
  <c r="F125" i="40"/>
  <c r="F187" i="40"/>
  <c r="H272" i="40"/>
  <c r="F364" i="40"/>
  <c r="H488" i="40"/>
  <c r="H469" i="40"/>
  <c r="F186" i="40"/>
  <c r="H436" i="40"/>
  <c r="F57" i="40"/>
  <c r="H257" i="40"/>
  <c r="H19" i="40"/>
  <c r="H249" i="40"/>
  <c r="F70" i="40"/>
  <c r="I459" i="40"/>
  <c r="H139" i="40"/>
  <c r="F153" i="40"/>
  <c r="H260" i="40"/>
  <c r="F362" i="40"/>
  <c r="F75" i="40"/>
  <c r="F35" i="40"/>
  <c r="F346" i="40"/>
  <c r="F279" i="40"/>
  <c r="F123" i="40"/>
  <c r="F25" i="40"/>
  <c r="F56" i="40"/>
  <c r="F184" i="40"/>
  <c r="F155" i="40"/>
  <c r="F322" i="40"/>
  <c r="H274" i="40"/>
  <c r="F267" i="40"/>
  <c r="F151" i="40"/>
  <c r="F33" i="40"/>
  <c r="H265" i="40"/>
  <c r="F149" i="40"/>
  <c r="F63" i="40"/>
  <c r="H471" i="40"/>
  <c r="F435" i="40"/>
  <c r="F81" i="40"/>
  <c r="F327" i="40"/>
  <c r="I490" i="40"/>
  <c r="H28" i="40"/>
  <c r="F367" i="40"/>
  <c r="H254" i="40"/>
  <c r="H241" i="40"/>
  <c r="H264" i="40"/>
  <c r="F325" i="40"/>
  <c r="H144" i="40"/>
  <c r="H115" i="40"/>
  <c r="F196" i="40"/>
  <c r="F350" i="40"/>
  <c r="F348" i="40"/>
  <c r="F3" i="40"/>
  <c r="I248" i="40"/>
  <c r="F124" i="40"/>
  <c r="F160" i="40"/>
  <c r="F32" i="40"/>
  <c r="H438" i="40"/>
  <c r="H258" i="40"/>
  <c r="F77" i="40"/>
  <c r="F329" i="40"/>
  <c r="H134" i="40"/>
  <c r="F447" i="40"/>
  <c r="F195" i="40"/>
  <c r="F351" i="40"/>
  <c r="H439" i="40"/>
  <c r="H462" i="40"/>
  <c r="F244" i="40"/>
  <c r="H431" i="40"/>
  <c r="H427" i="40"/>
  <c r="H466" i="40"/>
  <c r="H250" i="40"/>
  <c r="F333" i="40"/>
  <c r="H30" i="40"/>
  <c r="H468" i="40"/>
  <c r="H275" i="40"/>
  <c r="F43" i="40"/>
  <c r="I286" i="40"/>
  <c r="F197" i="40"/>
  <c r="F484" i="40"/>
  <c r="H235" i="40"/>
  <c r="F370" i="40"/>
  <c r="H476" i="40"/>
  <c r="F158" i="40"/>
  <c r="F445" i="40"/>
  <c r="F485" i="40"/>
  <c r="F345" i="40"/>
  <c r="F355" i="40"/>
  <c r="F280" i="40"/>
  <c r="H430" i="40"/>
  <c r="H137" i="40"/>
  <c r="F194" i="40"/>
  <c r="H266" i="40"/>
  <c r="F79" i="40"/>
  <c r="F129" i="40"/>
  <c r="F147" i="40"/>
  <c r="F166" i="40"/>
  <c r="F315" i="40"/>
  <c r="F341" i="40"/>
  <c r="I451" i="40"/>
  <c r="F127" i="40"/>
  <c r="H428" i="40"/>
  <c r="F338" i="40"/>
  <c r="F198" i="40"/>
  <c r="H446" i="40"/>
  <c r="H475" i="40"/>
  <c r="H141" i="40"/>
  <c r="F161" i="40"/>
  <c r="I128" i="40"/>
  <c r="H336" i="40"/>
  <c r="F130" i="40"/>
  <c r="F176" i="40"/>
  <c r="F243" i="40"/>
  <c r="H132" i="40"/>
  <c r="F61" i="40"/>
  <c r="F352" i="40"/>
  <c r="F331" i="40"/>
  <c r="I165" i="40"/>
  <c r="F42" i="40"/>
  <c r="I489" i="40"/>
  <c r="F453" i="40"/>
  <c r="F58" i="40"/>
  <c r="F24" i="40"/>
  <c r="F10" i="40"/>
  <c r="F117" i="40"/>
  <c r="F67" i="40"/>
  <c r="F455" i="40"/>
  <c r="F493" i="40"/>
  <c r="F316" i="40"/>
  <c r="H231" i="40"/>
  <c r="F120" i="40"/>
  <c r="F354" i="40"/>
  <c r="H26" i="40"/>
  <c r="H27" i="40"/>
  <c r="F150" i="40"/>
  <c r="F121" i="40"/>
  <c r="H133" i="40"/>
  <c r="F40" i="40"/>
  <c r="H146" i="40"/>
  <c r="F64" i="40"/>
  <c r="F332" i="40"/>
  <c r="F157" i="40"/>
  <c r="H477" i="40"/>
  <c r="I491" i="40"/>
  <c r="H145" i="40"/>
  <c r="F452" i="40"/>
  <c r="H252" i="40"/>
  <c r="I448" i="40"/>
  <c r="F277" i="40"/>
  <c r="F118" i="40"/>
  <c r="H433" i="40"/>
  <c r="F65" i="40"/>
  <c r="F434" i="40"/>
  <c r="F23" i="40"/>
  <c r="F495" i="40"/>
  <c r="F191" i="40"/>
  <c r="F4" i="40"/>
  <c r="F154" i="40"/>
  <c r="H342" i="40"/>
  <c r="F368" i="40"/>
  <c r="F177" i="40"/>
  <c r="H472" i="40"/>
  <c r="F175" i="40"/>
  <c r="F37" i="40"/>
  <c r="F357" i="40"/>
  <c r="I131" i="40"/>
  <c r="F156" i="40"/>
  <c r="H473" i="40"/>
  <c r="H467" i="40"/>
  <c r="F320" i="40"/>
  <c r="F22" i="40"/>
  <c r="F7" i="40"/>
  <c r="H143" i="40"/>
  <c r="H450" i="40"/>
  <c r="H262" i="40"/>
  <c r="F39" i="40"/>
  <c r="F330" i="40"/>
  <c r="F366" i="40"/>
  <c r="F68" i="40"/>
  <c r="F242" i="40"/>
  <c r="F73" i="40"/>
  <c r="F454" i="40"/>
  <c r="F71" i="40"/>
  <c r="H480" i="40"/>
  <c r="H437" i="40"/>
  <c r="H234" i="40"/>
  <c r="F179" i="40"/>
  <c r="F183" i="40"/>
  <c r="H479" i="40"/>
  <c r="F340" i="40"/>
  <c r="H246" i="40"/>
  <c r="F324" i="40"/>
  <c r="H253" i="40"/>
  <c r="F245" i="40"/>
  <c r="F269" i="40"/>
  <c r="H271" i="40"/>
  <c r="F337" i="40"/>
  <c r="H113" i="40"/>
  <c r="F456" i="40"/>
  <c r="H111" i="40"/>
  <c r="F363" i="40"/>
  <c r="F189" i="40"/>
  <c r="F178" i="40"/>
  <c r="F457" i="40"/>
  <c r="H233" i="40"/>
  <c r="F353" i="40"/>
  <c r="F317" i="40"/>
  <c r="F119" i="40"/>
  <c r="H464" i="40"/>
  <c r="H478" i="40"/>
  <c r="H470" i="40"/>
  <c r="I273" i="40"/>
  <c r="F66" i="40"/>
  <c r="H136" i="40"/>
  <c r="F41" i="40"/>
  <c r="F69" i="40"/>
  <c r="F180" i="40"/>
  <c r="F482" i="40"/>
  <c r="F74" i="40"/>
  <c r="F82" i="40"/>
  <c r="F328" i="40"/>
  <c r="F335" i="40"/>
  <c r="F318" i="40"/>
  <c r="H440" i="40"/>
  <c r="F38" i="40"/>
  <c r="F34" i="40"/>
  <c r="F281" i="40"/>
  <c r="H283" i="40"/>
  <c r="I461" i="40"/>
  <c r="F193" i="40"/>
  <c r="I276" i="40"/>
  <c r="F344" i="40"/>
  <c r="F199" i="40"/>
  <c r="F487" i="40"/>
  <c r="F360" i="40"/>
  <c r="F55" i="40"/>
  <c r="F20" i="40"/>
  <c r="F200" i="40"/>
  <c r="F122" i="40"/>
  <c r="F163" i="40"/>
  <c r="F9" i="40"/>
  <c r="I251" i="40"/>
  <c r="F343" i="40"/>
  <c r="F483" i="40"/>
  <c r="F369" i="40"/>
  <c r="H255" i="40"/>
  <c r="F458" i="40"/>
  <c r="F319" i="40"/>
  <c r="F494" i="40"/>
  <c r="F359" i="40"/>
  <c r="F78" i="40"/>
  <c r="F356" i="40"/>
  <c r="I285" i="40"/>
  <c r="F21" i="40"/>
  <c r="H238" i="40"/>
  <c r="H239" i="40"/>
  <c r="F432" i="40"/>
  <c r="H135" i="40"/>
  <c r="H429" i="40"/>
  <c r="F159" i="40"/>
  <c r="F442" i="40"/>
  <c r="F334" i="40"/>
  <c r="H138" i="40"/>
  <c r="F323" i="40"/>
  <c r="F443" i="40"/>
  <c r="F365" i="40"/>
  <c r="F347" i="40"/>
  <c r="H449" i="40"/>
  <c r="F36" i="40"/>
  <c r="F492" i="40"/>
  <c r="F192" i="40"/>
  <c r="H140" i="40"/>
  <c r="F339" i="40"/>
  <c r="F278" i="40"/>
  <c r="F321" i="40"/>
  <c r="H236" i="40"/>
  <c r="F46" i="40"/>
  <c r="F59" i="40"/>
  <c r="F202" i="40"/>
  <c r="H116" i="40"/>
  <c r="F358" i="40"/>
  <c r="F190" i="40"/>
  <c r="H256" i="40"/>
  <c r="H112" i="40"/>
  <c r="F188" i="40"/>
  <c r="F126" i="40"/>
  <c r="F201" i="40"/>
  <c r="H259" i="40"/>
  <c r="F44" i="40"/>
  <c r="H463" i="40"/>
  <c r="H263" i="40"/>
  <c r="I460" i="40"/>
  <c r="H240" i="40"/>
  <c r="H29" i="40"/>
  <c r="I496" i="40"/>
  <c r="F76" i="40"/>
  <c r="F247" i="40"/>
  <c r="F268" i="40"/>
  <c r="F164" i="40"/>
  <c r="F60" i="40"/>
  <c r="F270" i="40"/>
  <c r="F45" i="40"/>
  <c r="F181" i="40"/>
  <c r="F72" i="40"/>
  <c r="F361" i="40"/>
  <c r="H261" i="40"/>
  <c r="F6" i="40"/>
  <c r="F62" i="40"/>
  <c r="H142" i="40"/>
  <c r="F148" i="40"/>
  <c r="F8" i="40"/>
  <c r="H232" i="40"/>
  <c r="AT17" i="3"/>
  <c r="J15" i="45" s="1"/>
  <c r="AM17" i="3"/>
  <c r="I15" i="45" s="1"/>
  <c r="AQ17" i="3"/>
  <c r="AP17" i="3"/>
  <c r="AR17" i="3"/>
  <c r="H15" i="45"/>
  <c r="AN17" i="3"/>
  <c r="AO17" i="3"/>
  <c r="AK17" i="3" a="1"/>
  <c r="AK17" i="3" s="1"/>
  <c r="AS17" i="3"/>
  <c r="AP54" i="3"/>
  <c r="AQ54" i="3"/>
  <c r="T4" i="45"/>
  <c r="AS54" i="3"/>
  <c r="M110" i="3"/>
  <c r="AA109" i="3" s="1"/>
  <c r="D109" i="3" s="1"/>
  <c r="AN54" i="3"/>
  <c r="AM54" i="3"/>
  <c r="U4" i="45" s="1"/>
  <c r="AT54" i="3"/>
  <c r="V4" i="45" s="1"/>
  <c r="AK54" i="3" a="1"/>
  <c r="AK54" i="3" s="1"/>
  <c r="AR54" i="3"/>
  <c r="AO54" i="3"/>
  <c r="AM71" i="3"/>
  <c r="U21" i="45" s="1"/>
  <c r="AS71" i="3"/>
  <c r="AN71" i="3"/>
  <c r="AP71" i="3"/>
  <c r="AR71" i="3"/>
  <c r="AO71" i="3"/>
  <c r="N106" i="3"/>
  <c r="AF105" i="3" s="1"/>
  <c r="AQ71" i="3"/>
  <c r="AT71" i="3"/>
  <c r="V21" i="45" s="1"/>
  <c r="T21" i="45"/>
  <c r="AK71" i="3" a="1"/>
  <c r="AK71" i="3" s="1"/>
  <c r="AN63" i="3"/>
  <c r="AO63" i="3"/>
  <c r="AT63" i="3"/>
  <c r="V13" i="45" s="1"/>
  <c r="T13" i="45"/>
  <c r="N114" i="3"/>
  <c r="AF115" i="3" s="1"/>
  <c r="AM63" i="3"/>
  <c r="U13" i="45" s="1"/>
  <c r="AK63" i="3" a="1"/>
  <c r="AK63" i="3" s="1"/>
  <c r="AP63" i="3"/>
  <c r="AQ63" i="3"/>
  <c r="AS63" i="3"/>
  <c r="AR63" i="3"/>
  <c r="AK56" i="3" a="1"/>
  <c r="AK56" i="3" s="1"/>
  <c r="AS56" i="3"/>
  <c r="AR56" i="3"/>
  <c r="AP56" i="3"/>
  <c r="T6" i="45"/>
  <c r="AN56" i="3"/>
  <c r="AM56" i="3"/>
  <c r="U6" i="45" s="1"/>
  <c r="AQ56" i="3"/>
  <c r="AO56" i="3"/>
  <c r="AT56" i="3"/>
  <c r="V6" i="45" s="1"/>
  <c r="AS65" i="3"/>
  <c r="AN65" i="3"/>
  <c r="T15" i="45"/>
  <c r="AT65" i="3"/>
  <c r="V15" i="45" s="1"/>
  <c r="AR65" i="3"/>
  <c r="AM65" i="3"/>
  <c r="U15" i="45" s="1"/>
  <c r="AO65" i="3"/>
  <c r="AP65" i="3"/>
  <c r="AK65" i="3" a="1"/>
  <c r="AK65" i="3" s="1"/>
  <c r="AQ65" i="3"/>
  <c r="AO78" i="3"/>
  <c r="AM78" i="3"/>
  <c r="U28" i="45" s="1"/>
  <c r="AN78" i="3"/>
  <c r="T28" i="45"/>
  <c r="AK78" i="3" a="1"/>
  <c r="AK78" i="3" s="1"/>
  <c r="AQ78" i="3"/>
  <c r="AR78" i="3"/>
  <c r="AS78" i="3"/>
  <c r="AP78" i="3"/>
  <c r="AT78" i="3"/>
  <c r="V28" i="45" s="1"/>
  <c r="M114" i="3"/>
  <c r="AA115" i="3" s="1"/>
  <c r="D115" i="3" s="1"/>
  <c r="AT72" i="3"/>
  <c r="V22" i="45" s="1"/>
  <c r="AS72" i="3"/>
  <c r="AP72" i="3"/>
  <c r="AK72" i="3" a="1"/>
  <c r="AK72" i="3" s="1"/>
  <c r="AN72" i="3"/>
  <c r="T22" i="45"/>
  <c r="AM72" i="3"/>
  <c r="U22" i="45" s="1"/>
  <c r="AR72" i="3"/>
  <c r="AO72" i="3"/>
  <c r="AQ72" i="3"/>
  <c r="AS73" i="3"/>
  <c r="AN73" i="3"/>
  <c r="AP73" i="3"/>
  <c r="T23" i="45"/>
  <c r="AT73" i="3"/>
  <c r="V23" i="45" s="1"/>
  <c r="AR73" i="3"/>
  <c r="AM73" i="3"/>
  <c r="U23" i="45" s="1"/>
  <c r="AO73" i="3"/>
  <c r="AQ73" i="3"/>
  <c r="AK73" i="3" a="1"/>
  <c r="AK73" i="3" s="1"/>
  <c r="AT96" i="3"/>
  <c r="V46" i="45" s="1"/>
  <c r="AR96" i="3"/>
  <c r="AP96" i="3"/>
  <c r="AQ96" i="3"/>
  <c r="AM96" i="3"/>
  <c r="U46" i="45" s="1"/>
  <c r="AN96" i="3"/>
  <c r="T46" i="45"/>
  <c r="AK96" i="3" a="1"/>
  <c r="AK96" i="3" s="1"/>
  <c r="AS96" i="3"/>
  <c r="AO96" i="3"/>
  <c r="AP25" i="3"/>
  <c r="AO25" i="3"/>
  <c r="AS25" i="3"/>
  <c r="AQ25" i="3"/>
  <c r="AT25" i="3"/>
  <c r="J23" i="45" s="1"/>
  <c r="AN25" i="3"/>
  <c r="H23" i="45"/>
  <c r="AR25" i="3"/>
  <c r="AK25" i="3" a="1"/>
  <c r="AK25" i="3" s="1"/>
  <c r="AM25" i="3"/>
  <c r="I23" i="45" s="1"/>
  <c r="BF60" i="3"/>
  <c r="BE60" i="3" s="1"/>
  <c r="BR60" i="3" s="1"/>
  <c r="AR48" i="3"/>
  <c r="AO48" i="3"/>
  <c r="AN48" i="3"/>
  <c r="AK48" i="3" a="1"/>
  <c r="AK48" i="3" s="1"/>
  <c r="AS48" i="3"/>
  <c r="AP48" i="3"/>
  <c r="AQ48" i="3"/>
  <c r="AT48" i="3"/>
  <c r="J46" i="45" s="1"/>
  <c r="AM48" i="3"/>
  <c r="I46" i="45" s="1"/>
  <c r="H46" i="45"/>
  <c r="E476" i="40"/>
  <c r="E362" i="40"/>
  <c r="E365" i="40"/>
  <c r="E97" i="40"/>
  <c r="E480" i="40"/>
  <c r="E384" i="40"/>
  <c r="E323" i="40"/>
  <c r="E109" i="40"/>
  <c r="E95" i="40"/>
  <c r="E336" i="40"/>
  <c r="E425" i="40"/>
  <c r="E488" i="40"/>
  <c r="E496" i="40"/>
  <c r="E401" i="40"/>
  <c r="E342" i="40"/>
  <c r="E386" i="40"/>
  <c r="E474" i="40"/>
  <c r="E134" i="40"/>
  <c r="E104" i="40"/>
  <c r="E331" i="40"/>
  <c r="E396" i="40"/>
  <c r="E120" i="40"/>
  <c r="E87" i="40"/>
  <c r="E436" i="40"/>
  <c r="E400" i="40"/>
  <c r="E57" i="40"/>
  <c r="E354" i="40"/>
  <c r="E131" i="40"/>
  <c r="E332" i="40"/>
  <c r="E377" i="40"/>
  <c r="E76" i="40"/>
  <c r="E290" i="40"/>
  <c r="E416" i="40"/>
  <c r="E475" i="40"/>
  <c r="E133" i="40"/>
  <c r="E495" i="40"/>
  <c r="E74" i="40"/>
  <c r="E394" i="40"/>
  <c r="E445" i="40"/>
  <c r="E71" i="40"/>
  <c r="E319" i="40"/>
  <c r="E343" i="40"/>
  <c r="E464" i="40"/>
  <c r="E423" i="40"/>
  <c r="E456" i="40"/>
  <c r="E335" i="40"/>
  <c r="E371" i="40"/>
  <c r="E142" i="40"/>
  <c r="E358" i="40"/>
  <c r="E53" i="40"/>
  <c r="E165" i="40"/>
  <c r="E301" i="40"/>
  <c r="E447" i="40"/>
  <c r="E340" i="40"/>
  <c r="E310" i="40"/>
  <c r="E485" i="40"/>
  <c r="E421" i="40"/>
  <c r="E326" i="40"/>
  <c r="E344" i="40"/>
  <c r="E409" i="40"/>
  <c r="E64" i="40"/>
  <c r="E472" i="40"/>
  <c r="E493" i="40"/>
  <c r="E483" i="40"/>
  <c r="E397" i="40"/>
  <c r="E388" i="40"/>
  <c r="E140" i="40"/>
  <c r="E311" i="40"/>
  <c r="E391" i="40"/>
  <c r="E435" i="40"/>
  <c r="E147" i="40"/>
  <c r="E82" i="40"/>
  <c r="E393" i="40"/>
  <c r="E66" i="40"/>
  <c r="E448" i="40"/>
  <c r="E306" i="40"/>
  <c r="E49" i="40"/>
  <c r="E455" i="40"/>
  <c r="E143" i="40"/>
  <c r="E164" i="40"/>
  <c r="E369" i="40"/>
  <c r="E62" i="40"/>
  <c r="E92" i="40"/>
  <c r="E292" i="40"/>
  <c r="E298" i="40"/>
  <c r="E291" i="40"/>
  <c r="E361" i="40"/>
  <c r="E313" i="40"/>
  <c r="E130" i="40"/>
  <c r="E451" i="40"/>
  <c r="E116" i="40"/>
  <c r="E334" i="40"/>
  <c r="E348" i="40"/>
  <c r="E328" i="40"/>
  <c r="E52" i="40"/>
  <c r="E294" i="40"/>
  <c r="E89" i="40"/>
  <c r="E356" i="40"/>
  <c r="E102" i="40"/>
  <c r="E146" i="40"/>
  <c r="E338" i="40"/>
  <c r="E460" i="40"/>
  <c r="E308" i="40"/>
  <c r="E385" i="40"/>
  <c r="E351" i="40"/>
  <c r="E297" i="40"/>
  <c r="E410" i="40"/>
  <c r="E83" i="40"/>
  <c r="E320" i="40"/>
  <c r="E124" i="40"/>
  <c r="E439" i="40"/>
  <c r="E303" i="40"/>
  <c r="E321" i="40"/>
  <c r="E454" i="40"/>
  <c r="E110" i="40"/>
  <c r="E484" i="40"/>
  <c r="E339" i="40"/>
  <c r="E56" i="40"/>
  <c r="E412" i="40"/>
  <c r="E162" i="40"/>
  <c r="E467" i="40"/>
  <c r="E152" i="40"/>
  <c r="E111" i="40"/>
  <c r="E374" i="40"/>
  <c r="E155" i="40"/>
  <c r="E402" i="40"/>
  <c r="E67" i="40"/>
  <c r="E450" i="40"/>
  <c r="E85" i="40"/>
  <c r="E366" i="40"/>
  <c r="E364" i="40"/>
  <c r="E160" i="40"/>
  <c r="E357" i="40"/>
  <c r="E51" i="40"/>
  <c r="E100" i="40"/>
  <c r="E492" i="40"/>
  <c r="E61" i="40"/>
  <c r="E296" i="40"/>
  <c r="E375" i="40"/>
  <c r="E477" i="40"/>
  <c r="E289" i="40"/>
  <c r="E144" i="40"/>
  <c r="E333" i="40"/>
  <c r="E427" i="40"/>
  <c r="E453" i="40"/>
  <c r="E55" i="40"/>
  <c r="E368" i="40"/>
  <c r="E395" i="40"/>
  <c r="E94" i="40"/>
  <c r="E54" i="40"/>
  <c r="E78" i="40"/>
  <c r="E304" i="40"/>
  <c r="E370" i="40"/>
  <c r="E77" i="40"/>
  <c r="E466" i="40"/>
  <c r="E84" i="40"/>
  <c r="E108" i="40"/>
  <c r="E99" i="40"/>
  <c r="E118" i="40"/>
  <c r="E411" i="40"/>
  <c r="E314" i="40"/>
  <c r="E158" i="40"/>
  <c r="E96" i="40"/>
  <c r="E381" i="40"/>
  <c r="E125" i="40"/>
  <c r="E135" i="40"/>
  <c r="E136" i="40"/>
  <c r="E392" i="40"/>
  <c r="E312" i="40"/>
  <c r="E441" i="40"/>
  <c r="E88" i="40"/>
  <c r="E47" i="40"/>
  <c r="E105" i="40"/>
  <c r="E442" i="40"/>
  <c r="E81" i="40"/>
  <c r="E103" i="40"/>
  <c r="E379" i="40"/>
  <c r="E346" i="40"/>
  <c r="E376" i="40"/>
  <c r="E413" i="40"/>
  <c r="E112" i="40"/>
  <c r="E330" i="40"/>
  <c r="E431" i="40"/>
  <c r="E123" i="40"/>
  <c r="E428" i="40"/>
  <c r="E329" i="40"/>
  <c r="E137" i="40"/>
  <c r="E150" i="40"/>
  <c r="E288" i="40"/>
  <c r="E80" i="40"/>
  <c r="E149" i="40"/>
  <c r="E471" i="40"/>
  <c r="E408" i="40"/>
  <c r="E129" i="40"/>
  <c r="E302" i="40"/>
  <c r="E70" i="40"/>
  <c r="E352" i="40"/>
  <c r="E322" i="40"/>
  <c r="E383" i="40"/>
  <c r="E318" i="40"/>
  <c r="F48" i="40"/>
  <c r="E122" i="40"/>
  <c r="E486" i="40"/>
  <c r="E101" i="40"/>
  <c r="E295" i="40"/>
  <c r="E293" i="40"/>
  <c r="E90" i="40"/>
  <c r="E417" i="40"/>
  <c r="E481" i="40"/>
  <c r="E457" i="40"/>
  <c r="E382" i="40"/>
  <c r="E405" i="40"/>
  <c r="E113" i="40"/>
  <c r="E424" i="40"/>
  <c r="E300" i="40"/>
  <c r="E119" i="40"/>
  <c r="E479" i="40"/>
  <c r="E407" i="40"/>
  <c r="E79" i="40"/>
  <c r="E406" i="40"/>
  <c r="E126" i="40"/>
  <c r="E324" i="40"/>
  <c r="E317" i="40"/>
  <c r="E59" i="40"/>
  <c r="E426" i="40"/>
  <c r="E444" i="40"/>
  <c r="E156" i="40"/>
  <c r="E93" i="40"/>
  <c r="E429" i="40"/>
  <c r="E437" i="40"/>
  <c r="E316" i="40"/>
  <c r="E138" i="40"/>
  <c r="E86" i="40"/>
  <c r="E380" i="40"/>
  <c r="E469" i="40"/>
  <c r="E337" i="40"/>
  <c r="E98" i="40"/>
  <c r="E117" i="40"/>
  <c r="E50" i="40"/>
  <c r="E350" i="40"/>
  <c r="E115" i="40"/>
  <c r="E443" i="40"/>
  <c r="E399" i="40"/>
  <c r="E353" i="40"/>
  <c r="E422" i="40"/>
  <c r="E491" i="40"/>
  <c r="E163" i="40"/>
  <c r="E470" i="40"/>
  <c r="E128" i="40"/>
  <c r="E458" i="40"/>
  <c r="E315" i="40"/>
  <c r="E473" i="40"/>
  <c r="E127" i="40"/>
  <c r="E434" i="40"/>
  <c r="E398" i="40"/>
  <c r="E419" i="40"/>
  <c r="E414" i="40"/>
  <c r="E452" i="40"/>
  <c r="E440" i="40"/>
  <c r="E154" i="40"/>
  <c r="E360" i="40"/>
  <c r="E378" i="40"/>
  <c r="E367" i="40"/>
  <c r="E307" i="40"/>
  <c r="E349" i="40"/>
  <c r="E161" i="40"/>
  <c r="E403" i="40"/>
  <c r="E459" i="40"/>
  <c r="E446" i="40"/>
  <c r="E461" i="40"/>
  <c r="E159" i="40"/>
  <c r="E363" i="40"/>
  <c r="E415" i="40"/>
  <c r="E151" i="40"/>
  <c r="E91" i="40"/>
  <c r="E468" i="40"/>
  <c r="E72" i="40"/>
  <c r="E478" i="40"/>
  <c r="E420" i="40"/>
  <c r="E166" i="40"/>
  <c r="E106" i="40"/>
  <c r="E433" i="40"/>
  <c r="E114" i="40"/>
  <c r="E432" i="40"/>
  <c r="E141" i="40"/>
  <c r="E157" i="40"/>
  <c r="E430" i="40"/>
  <c r="E345" i="40"/>
  <c r="E347" i="40"/>
  <c r="E449" i="40"/>
  <c r="E58" i="40"/>
  <c r="E121" i="40"/>
  <c r="E65" i="40"/>
  <c r="E68" i="40"/>
  <c r="E107" i="40"/>
  <c r="E132" i="40"/>
  <c r="E299" i="40"/>
  <c r="E73" i="40"/>
  <c r="E69" i="40"/>
  <c r="E387" i="40"/>
  <c r="E153" i="40"/>
  <c r="E63" i="40"/>
  <c r="E489" i="40"/>
  <c r="E287" i="40"/>
  <c r="E494" i="40"/>
  <c r="E327" i="40"/>
  <c r="E404" i="40"/>
  <c r="E139" i="40"/>
  <c r="E148" i="40"/>
  <c r="E389" i="40"/>
  <c r="E325" i="40"/>
  <c r="E305" i="40"/>
  <c r="E390" i="40"/>
  <c r="E487" i="40"/>
  <c r="E418" i="40"/>
  <c r="E75" i="40"/>
  <c r="E309" i="40"/>
  <c r="E373" i="40"/>
  <c r="E465" i="40"/>
  <c r="E341" i="40"/>
  <c r="E463" i="40"/>
  <c r="E462" i="40"/>
  <c r="E145" i="40"/>
  <c r="E438" i="40"/>
  <c r="E490" i="40"/>
  <c r="E60" i="40"/>
  <c r="E359" i="40"/>
  <c r="E482" i="40"/>
  <c r="E372" i="40"/>
  <c r="E355" i="40"/>
  <c r="AM40" i="3"/>
  <c r="I38" i="45" s="1"/>
  <c r="AO40" i="3"/>
  <c r="AQ40" i="3"/>
  <c r="AK40" i="3" a="1"/>
  <c r="AK40" i="3" s="1"/>
  <c r="AP40" i="3"/>
  <c r="H38" i="45"/>
  <c r="AT40" i="3"/>
  <c r="J38" i="45" s="1"/>
  <c r="AS40" i="3"/>
  <c r="AN40" i="3"/>
  <c r="AR40" i="3"/>
  <c r="AS87" i="3"/>
  <c r="AN87" i="3"/>
  <c r="M111" i="3"/>
  <c r="AA112" i="3" s="1"/>
  <c r="D112" i="3" s="1"/>
  <c r="T37" i="45"/>
  <c r="AP87" i="3"/>
  <c r="AO87" i="3"/>
  <c r="AQ87" i="3"/>
  <c r="AK87" i="3" a="1"/>
  <c r="AK87" i="3" s="1"/>
  <c r="AT87" i="3"/>
  <c r="V37" i="45" s="1"/>
  <c r="AR87" i="3"/>
  <c r="AM87" i="3"/>
  <c r="U37" i="45" s="1"/>
  <c r="C348" i="40"/>
  <c r="C51" i="40"/>
  <c r="J492" i="40"/>
  <c r="C420" i="40"/>
  <c r="I413" i="40"/>
  <c r="I146" i="40"/>
  <c r="E191" i="40"/>
  <c r="E220" i="40"/>
  <c r="C345" i="40"/>
  <c r="E265" i="40"/>
  <c r="C417" i="40"/>
  <c r="I426" i="40"/>
  <c r="C397" i="40"/>
  <c r="J490" i="40"/>
  <c r="C104" i="40"/>
  <c r="J262" i="40"/>
  <c r="C12" i="40"/>
  <c r="C69" i="40"/>
  <c r="J226" i="40"/>
  <c r="C309" i="40"/>
  <c r="C27" i="40"/>
  <c r="I424" i="40"/>
  <c r="C294" i="40"/>
  <c r="C95" i="40"/>
  <c r="I487" i="40"/>
  <c r="C67" i="40"/>
  <c r="C421" i="40"/>
  <c r="C312" i="40"/>
  <c r="C102" i="40"/>
  <c r="C169" i="40"/>
  <c r="C395" i="40"/>
  <c r="C48" i="40"/>
  <c r="I314" i="40"/>
  <c r="C96" i="40"/>
  <c r="E217" i="40"/>
  <c r="C145" i="40"/>
  <c r="C302" i="40"/>
  <c r="E39" i="40"/>
  <c r="D414" i="40"/>
  <c r="C343" i="40"/>
  <c r="E267" i="40"/>
  <c r="I479" i="40"/>
  <c r="C195" i="40"/>
  <c r="I425" i="40"/>
  <c r="C172" i="40"/>
  <c r="D148" i="40"/>
  <c r="C401" i="40"/>
  <c r="C304" i="40"/>
  <c r="C465" i="40"/>
  <c r="C404" i="40"/>
  <c r="C305" i="40"/>
  <c r="E273" i="40"/>
  <c r="I495" i="40"/>
  <c r="G147" i="40"/>
  <c r="D415" i="40"/>
  <c r="C9" i="40"/>
  <c r="C31" i="40"/>
  <c r="J467" i="40"/>
  <c r="D358" i="40"/>
  <c r="I493" i="40"/>
  <c r="C30" i="40"/>
  <c r="J285" i="40"/>
  <c r="E200" i="40"/>
  <c r="C361" i="40"/>
  <c r="C50" i="40"/>
  <c r="D359" i="40"/>
  <c r="E35" i="40"/>
  <c r="C336" i="40"/>
  <c r="C394" i="40"/>
  <c r="I166" i="40"/>
  <c r="C342" i="40"/>
  <c r="E38" i="40"/>
  <c r="C76" i="40"/>
  <c r="C474" i="40"/>
  <c r="I279" i="40"/>
  <c r="C75" i="40"/>
  <c r="C53" i="40"/>
  <c r="E40" i="40"/>
  <c r="C98" i="40"/>
  <c r="E36" i="40"/>
  <c r="C295" i="40"/>
  <c r="C194" i="40"/>
  <c r="C68" i="40"/>
  <c r="J496" i="40"/>
  <c r="C64" i="40"/>
  <c r="J198" i="40"/>
  <c r="C398" i="40"/>
  <c r="C259" i="40"/>
  <c r="C136" i="40"/>
  <c r="C260" i="40"/>
  <c r="C10" i="40"/>
  <c r="C168" i="40"/>
  <c r="C144" i="40"/>
  <c r="J152" i="40"/>
  <c r="I468" i="40"/>
  <c r="I484" i="40"/>
  <c r="C463" i="40"/>
  <c r="C141" i="40"/>
  <c r="C100" i="40"/>
  <c r="E33" i="40"/>
  <c r="J142" i="40"/>
  <c r="E45" i="40"/>
  <c r="C174" i="40"/>
  <c r="C422" i="40"/>
  <c r="C66" i="40"/>
  <c r="D470" i="40"/>
  <c r="C170" i="40"/>
  <c r="E201" i="40"/>
  <c r="C301" i="40"/>
  <c r="C6" i="40"/>
  <c r="J283" i="40"/>
  <c r="C103" i="40"/>
  <c r="C353" i="40"/>
  <c r="C216" i="40"/>
  <c r="I153" i="40"/>
  <c r="C363" i="40"/>
  <c r="C15" i="40"/>
  <c r="C365" i="40"/>
  <c r="C366" i="40"/>
  <c r="J483" i="40"/>
  <c r="I282" i="40"/>
  <c r="I350" i="40"/>
  <c r="C472" i="40"/>
  <c r="G157" i="40"/>
  <c r="D275" i="40"/>
  <c r="D218" i="40"/>
  <c r="E284" i="40"/>
  <c r="C396" i="40"/>
  <c r="I110" i="40"/>
  <c r="J402" i="40"/>
  <c r="D274" i="40"/>
  <c r="E256" i="40"/>
  <c r="E192" i="40"/>
  <c r="I159" i="40"/>
  <c r="I156" i="40"/>
  <c r="E270" i="40"/>
  <c r="C196" i="40"/>
  <c r="J488" i="40"/>
  <c r="I107" i="40"/>
  <c r="C138" i="40"/>
  <c r="I263" i="40"/>
  <c r="C139" i="40"/>
  <c r="C338" i="40"/>
  <c r="J478" i="40"/>
  <c r="C221" i="40"/>
  <c r="I82" i="40"/>
  <c r="E255" i="40"/>
  <c r="C134" i="40"/>
  <c r="C132" i="40"/>
  <c r="C5" i="40"/>
  <c r="C308" i="40"/>
  <c r="D482" i="40"/>
  <c r="J163" i="40"/>
  <c r="E228" i="40"/>
  <c r="C418" i="40"/>
  <c r="D491" i="40"/>
  <c r="C93" i="40"/>
  <c r="G160" i="40"/>
  <c r="C351" i="40"/>
  <c r="I43" i="40"/>
  <c r="J278" i="40"/>
  <c r="C140" i="40"/>
  <c r="C80" i="40"/>
  <c r="C477" i="40"/>
  <c r="E281" i="40"/>
  <c r="C300" i="40"/>
  <c r="D486" i="40"/>
  <c r="G149" i="40"/>
  <c r="D155" i="40"/>
  <c r="C400" i="40"/>
  <c r="C81" i="40"/>
  <c r="C362" i="40"/>
  <c r="C297" i="40"/>
  <c r="I494" i="40"/>
  <c r="C4" i="40"/>
  <c r="I266" i="40"/>
  <c r="C419" i="40"/>
  <c r="I416" i="40"/>
  <c r="C213" i="40"/>
  <c r="C54" i="40"/>
  <c r="C188" i="40"/>
  <c r="C464" i="40"/>
  <c r="E219" i="40"/>
  <c r="D254" i="40"/>
  <c r="I347" i="40"/>
  <c r="C65" i="40"/>
  <c r="J158" i="40"/>
  <c r="C306" i="40"/>
  <c r="D271" i="40"/>
  <c r="C29" i="40"/>
  <c r="C344" i="40"/>
  <c r="C26" i="40"/>
  <c r="C364" i="40"/>
  <c r="C173" i="40"/>
  <c r="C13" i="40"/>
  <c r="J356" i="40"/>
  <c r="D151" i="40"/>
  <c r="E32" i="40"/>
  <c r="D154" i="40"/>
  <c r="J412" i="40"/>
  <c r="E197" i="40"/>
  <c r="J78" i="40"/>
  <c r="E253" i="40"/>
  <c r="E280" i="40"/>
  <c r="C408" i="40"/>
  <c r="C193" i="40"/>
  <c r="C298" i="40"/>
  <c r="C296" i="40"/>
  <c r="I370" i="40"/>
  <c r="C187" i="40"/>
  <c r="D190" i="40"/>
  <c r="C341" i="40"/>
  <c r="D489" i="40"/>
  <c r="C135" i="40"/>
  <c r="C211" i="40"/>
  <c r="C62" i="40"/>
  <c r="C252" i="40"/>
  <c r="C185" i="40"/>
  <c r="C183" i="40"/>
  <c r="C49" i="40"/>
  <c r="C349" i="40"/>
  <c r="I360" i="40"/>
  <c r="C186" i="40"/>
  <c r="J165" i="40"/>
  <c r="C52" i="40"/>
  <c r="C92" i="40"/>
  <c r="C473" i="40"/>
  <c r="J272" i="40"/>
  <c r="E189" i="40"/>
  <c r="E225" i="40"/>
  <c r="J106" i="40"/>
  <c r="I480" i="40"/>
  <c r="E276" i="40"/>
  <c r="C97" i="40"/>
  <c r="C105" i="40"/>
  <c r="C2" i="40"/>
  <c r="C409" i="40"/>
  <c r="E261" i="40"/>
  <c r="C108" i="40"/>
  <c r="C307" i="40"/>
  <c r="C222" i="40"/>
  <c r="D485" i="40"/>
  <c r="C392" i="40"/>
  <c r="C72" i="40"/>
  <c r="C405" i="40"/>
  <c r="I406" i="40"/>
  <c r="C214" i="40"/>
  <c r="C462" i="40"/>
  <c r="C99" i="40"/>
  <c r="I403" i="40"/>
  <c r="I357" i="40"/>
  <c r="C74" i="40"/>
  <c r="C18" i="40"/>
  <c r="I471" i="40"/>
  <c r="C410" i="40"/>
  <c r="C299" i="40"/>
  <c r="D466" i="40"/>
  <c r="I369" i="40"/>
  <c r="C313" i="40"/>
  <c r="I230" i="40"/>
  <c r="I143" i="40"/>
  <c r="C224" i="40"/>
  <c r="C407" i="40"/>
  <c r="C184" i="40"/>
  <c r="C17" i="40"/>
  <c r="C339" i="40"/>
  <c r="C476" i="40"/>
  <c r="J423" i="40"/>
  <c r="E264" i="40"/>
  <c r="J367" i="40"/>
  <c r="C475" i="40"/>
  <c r="C7" i="40"/>
  <c r="C354" i="40"/>
  <c r="C91" i="40"/>
  <c r="C70" i="40"/>
  <c r="C215" i="40"/>
  <c r="C90" i="40"/>
  <c r="E277" i="40"/>
  <c r="C257" i="40"/>
  <c r="D268" i="40"/>
  <c r="I481" i="40"/>
  <c r="C71" i="40"/>
  <c r="I311" i="40"/>
  <c r="C303" i="40"/>
  <c r="C8" i="40"/>
  <c r="C63" i="40"/>
  <c r="J42" i="40"/>
  <c r="C210" i="40"/>
  <c r="E37" i="40"/>
  <c r="C340" i="40"/>
  <c r="C94" i="40"/>
  <c r="D355" i="40"/>
  <c r="C109" i="40"/>
  <c r="C258" i="40"/>
  <c r="I162" i="40"/>
  <c r="C399" i="40"/>
  <c r="E286" i="40"/>
  <c r="C14" i="40"/>
  <c r="E269" i="40"/>
  <c r="C16" i="40"/>
  <c r="E44" i="40"/>
  <c r="C137" i="40"/>
  <c r="D469" i="40"/>
  <c r="C212" i="40"/>
  <c r="E41" i="40"/>
  <c r="I368" i="40"/>
  <c r="C171" i="40"/>
  <c r="C28" i="40"/>
  <c r="J310" i="40"/>
  <c r="I202" i="40"/>
  <c r="C77" i="40"/>
  <c r="I199" i="40"/>
  <c r="C393" i="40"/>
  <c r="D411" i="40"/>
  <c r="I164" i="40"/>
  <c r="C182" i="40"/>
  <c r="E229" i="40"/>
  <c r="C73" i="40"/>
  <c r="I227" i="40"/>
  <c r="C352" i="40"/>
  <c r="D34" i="40"/>
  <c r="G161" i="40"/>
  <c r="G150" i="40"/>
  <c r="C133" i="40"/>
  <c r="J346" i="40"/>
  <c r="C337" i="40"/>
  <c r="I79" i="40"/>
  <c r="I46" i="40"/>
  <c r="C101" i="40"/>
  <c r="C223" i="40"/>
  <c r="AS32" i="3"/>
  <c r="AO32" i="3"/>
  <c r="AP32" i="3"/>
  <c r="H30" i="45"/>
  <c r="AN32" i="3"/>
  <c r="AQ32" i="3"/>
  <c r="AK32" i="3" a="1"/>
  <c r="AK32" i="3" s="1"/>
  <c r="AR32" i="3"/>
  <c r="AM32" i="3"/>
  <c r="I30" i="45" s="1"/>
  <c r="AT32" i="3"/>
  <c r="J30" i="45" s="1"/>
  <c r="AT16" i="3"/>
  <c r="J14" i="45" s="1"/>
  <c r="AP16" i="3"/>
  <c r="AN16" i="3"/>
  <c r="AK16" i="3" a="1"/>
  <c r="AK16" i="3" s="1"/>
  <c r="AQ16" i="3"/>
  <c r="H14" i="45"/>
  <c r="AO16" i="3"/>
  <c r="AM16" i="3"/>
  <c r="I14" i="45" s="1"/>
  <c r="AR16" i="3"/>
  <c r="AS16" i="3"/>
  <c r="I351" i="40"/>
  <c r="I394" i="40"/>
  <c r="I466" i="40"/>
  <c r="I151" i="40"/>
  <c r="I177" i="40"/>
  <c r="I291" i="40"/>
  <c r="I393" i="40"/>
  <c r="I443" i="40"/>
  <c r="I324" i="40"/>
  <c r="I257" i="40"/>
  <c r="I407" i="40"/>
  <c r="I190" i="40"/>
  <c r="I65" i="40"/>
  <c r="I37" i="40"/>
  <c r="I384" i="40"/>
  <c r="I77" i="40"/>
  <c r="I157" i="40"/>
  <c r="I52" i="40"/>
  <c r="I127" i="40"/>
  <c r="I163" i="40"/>
  <c r="I168" i="40"/>
  <c r="I244" i="40"/>
  <c r="I142" i="40"/>
  <c r="I433" i="40"/>
  <c r="I336" i="40"/>
  <c r="I315" i="40"/>
  <c r="I379" i="40"/>
  <c r="I277" i="40"/>
  <c r="I267" i="40"/>
  <c r="I99" i="40"/>
  <c r="I307" i="40"/>
  <c r="I69" i="40"/>
  <c r="I423" i="40"/>
  <c r="I214" i="40"/>
  <c r="I154" i="40"/>
  <c r="I138" i="40"/>
  <c r="I158" i="40"/>
  <c r="I102" i="40"/>
  <c r="I90" i="40"/>
  <c r="I17" i="40"/>
  <c r="I195" i="40"/>
  <c r="I233" i="40"/>
  <c r="I203" i="40"/>
  <c r="I247" i="40"/>
  <c r="I29" i="40"/>
  <c r="I418" i="40"/>
  <c r="I175" i="40"/>
  <c r="I434" i="40"/>
  <c r="I39" i="40"/>
  <c r="I59" i="40"/>
  <c r="I312" i="40"/>
  <c r="I144" i="40"/>
  <c r="I16" i="40"/>
  <c r="I341" i="40"/>
  <c r="I170" i="40"/>
  <c r="I234" i="40"/>
  <c r="I467" i="40"/>
  <c r="I98" i="40"/>
  <c r="I353" i="40"/>
  <c r="I472" i="40"/>
  <c r="I57" i="40"/>
  <c r="I149" i="40"/>
  <c r="I152" i="40"/>
  <c r="I242" i="40"/>
  <c r="I342" i="40"/>
  <c r="I249" i="40"/>
  <c r="I148" i="40"/>
  <c r="I318" i="40"/>
  <c r="I118" i="40"/>
  <c r="I206" i="40"/>
  <c r="I319" i="40"/>
  <c r="I447" i="40"/>
  <c r="I398" i="40"/>
  <c r="I269" i="40"/>
  <c r="I288" i="40"/>
  <c r="I114" i="40"/>
  <c r="I303" i="40"/>
  <c r="I272" i="40"/>
  <c r="I392" i="40"/>
  <c r="I292" i="40"/>
  <c r="I301" i="40"/>
  <c r="I49" i="40"/>
  <c r="I141" i="40"/>
  <c r="I355" i="40"/>
  <c r="I412" i="40"/>
  <c r="I268" i="40"/>
  <c r="I225" i="40"/>
  <c r="I302" i="40"/>
  <c r="I21" i="40"/>
  <c r="I183" i="40"/>
  <c r="I271" i="40"/>
  <c r="I132" i="40"/>
  <c r="I78" i="40"/>
  <c r="I258" i="40"/>
  <c r="I96" i="40"/>
  <c r="I483" i="40"/>
  <c r="I253" i="40"/>
  <c r="I362" i="40"/>
  <c r="I213" i="40"/>
  <c r="I436" i="40"/>
  <c r="I309" i="40"/>
  <c r="I328" i="40"/>
  <c r="I210" i="40"/>
  <c r="I239" i="40"/>
  <c r="I80" i="40"/>
  <c r="I64" i="40"/>
  <c r="I120" i="40"/>
  <c r="I106" i="40"/>
  <c r="I134" i="40"/>
  <c r="I238" i="40"/>
  <c r="I296" i="40"/>
  <c r="I221" i="40"/>
  <c r="I103" i="40"/>
  <c r="I33" i="40"/>
  <c r="I24" i="40"/>
  <c r="I218" i="40"/>
  <c r="I338" i="40"/>
  <c r="I346" i="40"/>
  <c r="I60" i="40"/>
  <c r="I428" i="40"/>
  <c r="I383" i="40"/>
  <c r="I437" i="40"/>
  <c r="I482" i="40"/>
  <c r="I11" i="40"/>
  <c r="I455" i="40"/>
  <c r="I382" i="40"/>
  <c r="I41" i="40"/>
  <c r="I478" i="40"/>
  <c r="I361" i="40"/>
  <c r="I453" i="40"/>
  <c r="I87" i="40"/>
  <c r="I20" i="40"/>
  <c r="I358" i="40"/>
  <c r="I8" i="40"/>
  <c r="I374" i="40"/>
  <c r="I217" i="40"/>
  <c r="I185" i="40"/>
  <c r="I452" i="40"/>
  <c r="I462" i="40"/>
  <c r="I255" i="40"/>
  <c r="I223" i="40"/>
  <c r="I331" i="40"/>
  <c r="I68" i="40"/>
  <c r="I295" i="40"/>
  <c r="I395" i="40"/>
  <c r="I47" i="40"/>
  <c r="I330" i="40"/>
  <c r="I197" i="40"/>
  <c r="I194" i="40"/>
  <c r="I27" i="40"/>
  <c r="I397" i="40"/>
  <c r="I378" i="40"/>
  <c r="I262" i="40"/>
  <c r="I94" i="40"/>
  <c r="I283" i="40"/>
  <c r="I371" i="40"/>
  <c r="I83" i="40"/>
  <c r="I112" i="40"/>
  <c r="I298" i="40"/>
  <c r="I364" i="40"/>
  <c r="I6" i="40"/>
  <c r="I173" i="40"/>
  <c r="I380" i="40"/>
  <c r="I323" i="40"/>
  <c r="I108" i="40"/>
  <c r="I367" i="40"/>
  <c r="I38" i="40"/>
  <c r="I442" i="40"/>
  <c r="I71" i="40"/>
  <c r="I352" i="40"/>
  <c r="I26" i="40"/>
  <c r="I212" i="40"/>
  <c r="I179" i="40"/>
  <c r="I55" i="40"/>
  <c r="I373" i="40"/>
  <c r="I22" i="40"/>
  <c r="I50" i="40"/>
  <c r="I4" i="40"/>
  <c r="I111" i="40"/>
  <c r="I322" i="40"/>
  <c r="I23" i="40"/>
  <c r="I35" i="40"/>
  <c r="I348" i="40"/>
  <c r="I63" i="40"/>
  <c r="I402" i="40"/>
  <c r="I297" i="40"/>
  <c r="I186" i="40"/>
  <c r="I5" i="40"/>
  <c r="I193" i="40"/>
  <c r="I93" i="40"/>
  <c r="I228" i="40"/>
  <c r="I119" i="40"/>
  <c r="I75" i="40"/>
  <c r="I261" i="40"/>
  <c r="I226" i="40"/>
  <c r="I7" i="40"/>
  <c r="I66" i="40"/>
  <c r="I246" i="40"/>
  <c r="I274" i="40"/>
  <c r="I137" i="40"/>
  <c r="I237" i="40"/>
  <c r="I178" i="40"/>
  <c r="I105" i="40"/>
  <c r="I235" i="40"/>
  <c r="I264" i="40"/>
  <c r="I389" i="40"/>
  <c r="I129" i="40"/>
  <c r="I232" i="40"/>
  <c r="I411" i="40"/>
  <c r="I356" i="40"/>
  <c r="I300" i="40"/>
  <c r="I88" i="40"/>
  <c r="I463" i="40"/>
  <c r="I85" i="40"/>
  <c r="I339" i="40"/>
  <c r="I205" i="40"/>
  <c r="I74" i="40"/>
  <c r="I191" i="40"/>
  <c r="I439" i="40"/>
  <c r="I290" i="40"/>
  <c r="I15" i="40"/>
  <c r="I231" i="40"/>
  <c r="I86" i="40"/>
  <c r="I386" i="40"/>
  <c r="I56" i="40"/>
  <c r="I310" i="40"/>
  <c r="I133" i="40"/>
  <c r="I2" i="40"/>
  <c r="I188" i="40"/>
  <c r="I278" i="40"/>
  <c r="I30" i="40"/>
  <c r="I200" i="40"/>
  <c r="I34" i="40"/>
  <c r="I429" i="40"/>
  <c r="I169" i="40"/>
  <c r="I409" i="40"/>
  <c r="I321" i="40"/>
  <c r="I420" i="40"/>
  <c r="I469" i="40"/>
  <c r="I171" i="40"/>
  <c r="I160" i="40"/>
  <c r="I449" i="40"/>
  <c r="I73" i="40"/>
  <c r="I198" i="40"/>
  <c r="I139" i="40"/>
  <c r="I345" i="40"/>
  <c r="I294" i="40"/>
  <c r="I492" i="40"/>
  <c r="I3" i="40"/>
  <c r="I208" i="40"/>
  <c r="I135" i="40"/>
  <c r="I375" i="40"/>
  <c r="I28" i="40"/>
  <c r="I184" i="40"/>
  <c r="I14" i="40"/>
  <c r="I414" i="40"/>
  <c r="I417" i="40"/>
  <c r="I216" i="40"/>
  <c r="I126" i="40"/>
  <c r="I446" i="40"/>
  <c r="I58" i="40"/>
  <c r="I408" i="40"/>
  <c r="I222" i="40"/>
  <c r="I97" i="40"/>
  <c r="I372" i="40"/>
  <c r="I317" i="40"/>
  <c r="I399" i="40"/>
  <c r="I62" i="40"/>
  <c r="I147" i="40"/>
  <c r="I91" i="40"/>
  <c r="I123" i="40"/>
  <c r="I333" i="40"/>
  <c r="I44" i="40"/>
  <c r="I316" i="40"/>
  <c r="I211" i="40"/>
  <c r="I475" i="40"/>
  <c r="I180" i="40"/>
  <c r="I444" i="40"/>
  <c r="I101" i="40"/>
  <c r="I377" i="40"/>
  <c r="I9" i="40"/>
  <c r="I48" i="40"/>
  <c r="I458" i="40"/>
  <c r="I172" i="40"/>
  <c r="I70" i="40"/>
  <c r="I51" i="40"/>
  <c r="I387" i="40"/>
  <c r="I53" i="40"/>
  <c r="I219" i="40"/>
  <c r="I113" i="40"/>
  <c r="I122" i="40"/>
  <c r="I305" i="40"/>
  <c r="I327" i="40"/>
  <c r="I432" i="40"/>
  <c r="I427" i="40"/>
  <c r="I306" i="40"/>
  <c r="I182" i="40"/>
  <c r="I115" i="40"/>
  <c r="I337" i="40"/>
  <c r="I289" i="40"/>
  <c r="I464" i="40"/>
  <c r="I167" i="40"/>
  <c r="I326" i="40"/>
  <c r="I124" i="40"/>
  <c r="I259" i="40"/>
  <c r="I252" i="40"/>
  <c r="I117" i="40"/>
  <c r="I13" i="40"/>
  <c r="I189" i="40"/>
  <c r="I243" i="40"/>
  <c r="I42" i="40"/>
  <c r="I12" i="40"/>
  <c r="I488" i="40"/>
  <c r="I401" i="40"/>
  <c r="I32" i="40"/>
  <c r="I485" i="40"/>
  <c r="I404" i="40"/>
  <c r="I254" i="40"/>
  <c r="I176" i="40"/>
  <c r="I280" i="40"/>
  <c r="I343" i="40"/>
  <c r="I84" i="40"/>
  <c r="I430" i="40"/>
  <c r="I473" i="40"/>
  <c r="I19" i="40"/>
  <c r="I204" i="40"/>
  <c r="I287" i="40"/>
  <c r="I92" i="40"/>
  <c r="I207" i="40"/>
  <c r="I240" i="40"/>
  <c r="AN22" i="3"/>
  <c r="AP22" i="3"/>
  <c r="AQ22" i="3"/>
  <c r="M104" i="3"/>
  <c r="AA102" i="3" s="1"/>
  <c r="D102" i="3" s="1"/>
  <c r="AM22" i="3"/>
  <c r="I20" i="45" s="1"/>
  <c r="H20" i="45"/>
  <c r="AK22" i="3" a="1"/>
  <c r="AK22" i="3" s="1"/>
  <c r="AO22" i="3"/>
  <c r="AT22" i="3"/>
  <c r="J20" i="45" s="1"/>
  <c r="AS22" i="3"/>
  <c r="AR22" i="3"/>
  <c r="AK33" i="3" a="1"/>
  <c r="AK33" i="3" s="1"/>
  <c r="AT33" i="3"/>
  <c r="J31" i="45" s="1"/>
  <c r="AP33" i="3"/>
  <c r="AM33" i="3"/>
  <c r="I31" i="45" s="1"/>
  <c r="H31" i="45"/>
  <c r="AO33" i="3"/>
  <c r="AR33" i="3"/>
  <c r="AN33" i="3"/>
  <c r="AQ33" i="3"/>
  <c r="AS33" i="3"/>
  <c r="AP62" i="3"/>
  <c r="AR62" i="3"/>
  <c r="T12" i="45"/>
  <c r="M112" i="3"/>
  <c r="AA111" i="3" s="1"/>
  <c r="D111" i="3" s="1"/>
  <c r="AK62" i="3" a="1"/>
  <c r="AK62" i="3" s="1"/>
  <c r="AQ62" i="3"/>
  <c r="AO62" i="3"/>
  <c r="AT62" i="3"/>
  <c r="V12" i="45" s="1"/>
  <c r="AS62" i="3"/>
  <c r="AN62" i="3"/>
  <c r="AM62" i="3"/>
  <c r="U12" i="45" s="1"/>
  <c r="AT86" i="3"/>
  <c r="V36" i="45" s="1"/>
  <c r="AO86" i="3"/>
  <c r="AP86" i="3"/>
  <c r="T36" i="45"/>
  <c r="AQ86" i="3"/>
  <c r="AN86" i="3"/>
  <c r="AK86" i="3" a="1"/>
  <c r="AK86" i="3" s="1"/>
  <c r="AM86" i="3"/>
  <c r="U36" i="45" s="1"/>
  <c r="AS86" i="3"/>
  <c r="M115" i="3"/>
  <c r="AA116" i="3" s="1"/>
  <c r="D116" i="3" s="1"/>
  <c r="AR86" i="3"/>
  <c r="H28" i="45"/>
  <c r="AN30" i="3"/>
  <c r="AK30" i="3" a="1"/>
  <c r="AK30" i="3" s="1"/>
  <c r="AP30" i="3"/>
  <c r="AQ30" i="3"/>
  <c r="AT30" i="3"/>
  <c r="J28" i="45" s="1"/>
  <c r="AM30" i="3"/>
  <c r="I28" i="45" s="1"/>
  <c r="AO30" i="3"/>
  <c r="AS30" i="3"/>
  <c r="AR30" i="3"/>
  <c r="M109" i="3"/>
  <c r="AA110" i="3" s="1"/>
  <c r="AT47" i="3"/>
  <c r="J45" i="45" s="1"/>
  <c r="N104" i="3"/>
  <c r="AF102" i="3" s="1"/>
  <c r="H45" i="45"/>
  <c r="AK47" i="3" a="1"/>
  <c r="AK47" i="3" s="1"/>
  <c r="AR47" i="3"/>
  <c r="AO47" i="3"/>
  <c r="AQ47" i="3"/>
  <c r="AS47" i="3"/>
  <c r="AP47" i="3"/>
  <c r="AN47" i="3"/>
  <c r="AM47" i="3"/>
  <c r="I45" i="45" s="1"/>
  <c r="AQ31" i="3"/>
  <c r="AR31" i="3"/>
  <c r="AT31" i="3"/>
  <c r="J29" i="45" s="1"/>
  <c r="H29" i="45"/>
  <c r="AN31" i="3"/>
  <c r="AP31" i="3"/>
  <c r="AM31" i="3"/>
  <c r="I29" i="45" s="1"/>
  <c r="AO31" i="3"/>
  <c r="M116" i="3"/>
  <c r="AA114" i="3" s="1"/>
  <c r="D114" i="3" s="1"/>
  <c r="AK31" i="3" a="1"/>
  <c r="AK31" i="3" s="1"/>
  <c r="AS31" i="3"/>
  <c r="AM24" i="3"/>
  <c r="I22" i="45" s="1"/>
  <c r="AT24" i="3"/>
  <c r="J22" i="45" s="1"/>
  <c r="AO24" i="3"/>
  <c r="AQ24" i="3"/>
  <c r="AR24" i="3"/>
  <c r="AP24" i="3"/>
  <c r="AK24" i="3" a="1"/>
  <c r="AK24" i="3" s="1"/>
  <c r="H22" i="45"/>
  <c r="AS24" i="3"/>
  <c r="AN24" i="3"/>
  <c r="AR57" i="3"/>
  <c r="AK57" i="3" a="1"/>
  <c r="AK57" i="3" s="1"/>
  <c r="T7" i="45"/>
  <c r="AQ57" i="3"/>
  <c r="AP57" i="3"/>
  <c r="AN57" i="3"/>
  <c r="AM57" i="3"/>
  <c r="U7" i="45" s="1"/>
  <c r="AT57" i="3"/>
  <c r="V7" i="45" s="1"/>
  <c r="AS57" i="3"/>
  <c r="AO57" i="3"/>
  <c r="F283" i="40"/>
  <c r="F229" i="40"/>
  <c r="F108" i="40"/>
  <c r="F84" i="40"/>
  <c r="F263" i="40"/>
  <c r="F206" i="40"/>
  <c r="F426" i="40"/>
  <c r="F143" i="40"/>
  <c r="F236" i="40"/>
  <c r="F372" i="40"/>
  <c r="F260" i="40"/>
  <c r="F240" i="40"/>
  <c r="F226" i="40"/>
  <c r="F28" i="40"/>
  <c r="C243" i="40"/>
  <c r="C127" i="40"/>
  <c r="C385" i="40"/>
  <c r="F11" i="40"/>
  <c r="F469" i="40"/>
  <c r="F394" i="40"/>
  <c r="C242" i="40"/>
  <c r="F238" i="40"/>
  <c r="C37" i="40"/>
  <c r="C280" i="40"/>
  <c r="F254" i="40"/>
  <c r="F413" i="40"/>
  <c r="F275" i="40"/>
  <c r="F103" i="40"/>
  <c r="F83" i="40"/>
  <c r="F418" i="40"/>
  <c r="F216" i="40"/>
  <c r="C384" i="40"/>
  <c r="C447" i="40"/>
  <c r="C432" i="40"/>
  <c r="C148" i="40"/>
  <c r="F285" i="40"/>
  <c r="F27" i="40"/>
  <c r="C44" i="40"/>
  <c r="C494" i="40"/>
  <c r="F138" i="40"/>
  <c r="F248" i="40"/>
  <c r="C25" i="40"/>
  <c r="C121" i="40"/>
  <c r="F109" i="40"/>
  <c r="C164" i="40"/>
  <c r="F383" i="40"/>
  <c r="C46" i="40"/>
  <c r="F403" i="40"/>
  <c r="F222" i="40"/>
  <c r="F474" i="40"/>
  <c r="F250" i="40"/>
  <c r="F472" i="40"/>
  <c r="C42" i="40"/>
  <c r="F431" i="40"/>
  <c r="F234" i="40"/>
  <c r="F239" i="40"/>
  <c r="F204" i="40"/>
  <c r="F88" i="40"/>
  <c r="F116" i="40"/>
  <c r="C156" i="40"/>
  <c r="C122" i="40"/>
  <c r="F393" i="40"/>
  <c r="C36" i="40"/>
  <c r="C445" i="40"/>
  <c r="F217" i="40"/>
  <c r="C487" i="40"/>
  <c r="F388" i="40"/>
  <c r="F490" i="40"/>
  <c r="C23" i="40"/>
  <c r="F31" i="40"/>
  <c r="F286" i="40"/>
  <c r="F379" i="40"/>
  <c r="F470" i="40"/>
  <c r="C279" i="40"/>
  <c r="F480" i="40"/>
  <c r="C455" i="40"/>
  <c r="F425" i="40"/>
  <c r="C484" i="40"/>
  <c r="F225" i="40"/>
  <c r="F438" i="40"/>
  <c r="F137" i="40"/>
  <c r="C456" i="40"/>
  <c r="C32" i="40"/>
  <c r="C486" i="40"/>
  <c r="F208" i="40"/>
  <c r="F99" i="40"/>
  <c r="F422" i="40"/>
  <c r="C39" i="40"/>
  <c r="F227" i="40"/>
  <c r="F464" i="40"/>
  <c r="F12" i="40"/>
  <c r="C21" i="40"/>
  <c r="C34" i="40"/>
  <c r="F102" i="40"/>
  <c r="F428" i="40"/>
  <c r="F134" i="40"/>
  <c r="F203" i="40"/>
  <c r="C495" i="40"/>
  <c r="F210" i="40"/>
  <c r="F220" i="40"/>
  <c r="F19" i="40"/>
  <c r="F448" i="40"/>
  <c r="F228" i="40"/>
  <c r="F101" i="40"/>
  <c r="F111" i="40"/>
  <c r="C454" i="40"/>
  <c r="F256" i="40"/>
  <c r="C118" i="40"/>
  <c r="F14" i="40"/>
  <c r="F265" i="40"/>
  <c r="F207" i="40"/>
  <c r="F221" i="40"/>
  <c r="C452" i="40"/>
  <c r="F92" i="40"/>
  <c r="F489" i="40"/>
  <c r="C245" i="40"/>
  <c r="C38" i="40"/>
  <c r="F381" i="40"/>
  <c r="C117" i="40"/>
  <c r="F409" i="40"/>
  <c r="F449" i="40"/>
  <c r="C453" i="40"/>
  <c r="F375" i="40"/>
  <c r="C155" i="40"/>
  <c r="F231" i="40"/>
  <c r="C149" i="40"/>
  <c r="C120" i="40"/>
  <c r="F376" i="40"/>
  <c r="F213" i="40"/>
  <c r="F95" i="40"/>
  <c r="F491" i="40"/>
  <c r="F397" i="40"/>
  <c r="C443" i="40"/>
  <c r="F104" i="40"/>
  <c r="F476" i="40"/>
  <c r="C43" i="40"/>
  <c r="F106" i="40"/>
  <c r="C269" i="40"/>
  <c r="F462" i="40"/>
  <c r="F100" i="40"/>
  <c r="F387" i="40"/>
  <c r="F386" i="40"/>
  <c r="F141" i="40"/>
  <c r="C492" i="40"/>
  <c r="F446" i="40"/>
  <c r="F410" i="40"/>
  <c r="C237" i="40"/>
  <c r="F17" i="40"/>
  <c r="F211" i="40"/>
  <c r="C166" i="40"/>
  <c r="F459" i="40"/>
  <c r="F218" i="40"/>
  <c r="C267" i="40"/>
  <c r="F26" i="40"/>
  <c r="F272" i="40"/>
  <c r="F128" i="40"/>
  <c r="F241" i="40"/>
  <c r="F30" i="40"/>
  <c r="C150" i="40"/>
  <c r="F463" i="40"/>
  <c r="F18" i="40"/>
  <c r="F417" i="40"/>
  <c r="C247" i="40"/>
  <c r="F441" i="40"/>
  <c r="F271" i="40"/>
  <c r="F15" i="40"/>
  <c r="C159" i="40"/>
  <c r="F378" i="40"/>
  <c r="F114" i="40"/>
  <c r="F86" i="40"/>
  <c r="F471" i="40"/>
  <c r="F465" i="40"/>
  <c r="C41" i="40"/>
  <c r="F87" i="40"/>
  <c r="H392" i="40"/>
  <c r="F400" i="40"/>
  <c r="C147" i="40"/>
  <c r="F389" i="40"/>
  <c r="F209" i="40"/>
  <c r="C382" i="40"/>
  <c r="C444" i="40"/>
  <c r="F411" i="40"/>
  <c r="F107" i="40"/>
  <c r="F437" i="40"/>
  <c r="F264" i="40"/>
  <c r="F214" i="40"/>
  <c r="F252" i="40"/>
  <c r="F450" i="40"/>
  <c r="F135" i="40"/>
  <c r="C435" i="40"/>
  <c r="F496" i="40"/>
  <c r="F412" i="40"/>
  <c r="C154" i="40"/>
  <c r="F478" i="40"/>
  <c r="F251" i="40"/>
  <c r="F415" i="40"/>
  <c r="C22" i="40"/>
  <c r="C24" i="40"/>
  <c r="F112" i="40"/>
  <c r="F416" i="40"/>
  <c r="C278" i="40"/>
  <c r="C434" i="40"/>
  <c r="F466" i="40"/>
  <c r="F479" i="40"/>
  <c r="C282" i="40"/>
  <c r="C268" i="40"/>
  <c r="F215" i="40"/>
  <c r="F93" i="40"/>
  <c r="F259" i="40"/>
  <c r="F249" i="40"/>
  <c r="F380" i="40"/>
  <c r="F115" i="40"/>
  <c r="C483" i="40"/>
  <c r="F94" i="40"/>
  <c r="F473" i="40"/>
  <c r="F257" i="40"/>
  <c r="C493" i="40"/>
  <c r="H398" i="40"/>
  <c r="F205" i="40"/>
  <c r="F98" i="40"/>
  <c r="F408" i="40"/>
  <c r="F146" i="40"/>
  <c r="F460" i="40"/>
  <c r="F414" i="40"/>
  <c r="C160" i="40"/>
  <c r="F258" i="40"/>
  <c r="F273" i="40"/>
  <c r="F97" i="40"/>
  <c r="F255" i="40"/>
  <c r="F113" i="40"/>
  <c r="F377" i="40"/>
  <c r="C33" i="40"/>
  <c r="F91" i="40"/>
  <c r="F390" i="40"/>
  <c r="F427" i="40"/>
  <c r="C277" i="40"/>
  <c r="F165" i="40"/>
  <c r="F136" i="40"/>
  <c r="F467" i="40"/>
  <c r="F451" i="40"/>
  <c r="C442" i="40"/>
  <c r="F262" i="40"/>
  <c r="F219" i="40"/>
  <c r="C281" i="40"/>
  <c r="F144" i="40"/>
  <c r="F140" i="40"/>
  <c r="F16" i="40"/>
  <c r="F223" i="40"/>
  <c r="C126" i="40"/>
  <c r="C162" i="40"/>
  <c r="C161" i="40"/>
  <c r="C485" i="40"/>
  <c r="F433" i="40"/>
  <c r="F132" i="40"/>
  <c r="F266" i="40"/>
  <c r="F419" i="40"/>
  <c r="F284" i="40"/>
  <c r="C45" i="40"/>
  <c r="F133" i="40"/>
  <c r="F391" i="40"/>
  <c r="F424" i="40"/>
  <c r="F423" i="40"/>
  <c r="C129" i="40"/>
  <c r="F421" i="40"/>
  <c r="C151" i="40"/>
  <c r="F230" i="40"/>
  <c r="F253" i="40"/>
  <c r="F468" i="40"/>
  <c r="F371" i="40"/>
  <c r="F436" i="40"/>
  <c r="F131" i="40"/>
  <c r="F402" i="40"/>
  <c r="F233" i="40"/>
  <c r="F440" i="40"/>
  <c r="F374" i="40"/>
  <c r="F401" i="40"/>
  <c r="F90" i="40"/>
  <c r="F395" i="40"/>
  <c r="C163" i="40"/>
  <c r="C35" i="40"/>
  <c r="C482" i="40"/>
  <c r="F276" i="40"/>
  <c r="F29" i="40"/>
  <c r="F246" i="40"/>
  <c r="F477" i="40"/>
  <c r="C158" i="40"/>
  <c r="F13" i="40"/>
  <c r="F142" i="40"/>
  <c r="F406" i="40"/>
  <c r="F232" i="40"/>
  <c r="F85" i="40"/>
  <c r="F89" i="40"/>
  <c r="F110" i="40"/>
  <c r="F430" i="40"/>
  <c r="F105" i="40"/>
  <c r="C124" i="40"/>
  <c r="C40" i="40"/>
  <c r="F145" i="40"/>
  <c r="F405" i="40"/>
  <c r="F407" i="40"/>
  <c r="F373" i="40"/>
  <c r="F404" i="40"/>
  <c r="F429" i="40"/>
  <c r="C119" i="40"/>
  <c r="C125" i="40"/>
  <c r="F261" i="40"/>
  <c r="C130" i="40"/>
  <c r="F488" i="40"/>
  <c r="C157" i="40"/>
  <c r="F235" i="40"/>
  <c r="C20" i="40"/>
  <c r="C457" i="40"/>
  <c r="C123" i="40"/>
  <c r="F139" i="40"/>
  <c r="C458" i="40"/>
  <c r="F212" i="40"/>
  <c r="F396" i="40"/>
  <c r="C152" i="40"/>
  <c r="F96" i="40"/>
  <c r="F439" i="40"/>
  <c r="F399" i="40"/>
  <c r="F461" i="40"/>
  <c r="F475" i="40"/>
  <c r="C153" i="40"/>
  <c r="F481" i="40"/>
  <c r="F274" i="40"/>
  <c r="F420" i="40"/>
  <c r="C244" i="40"/>
  <c r="C270" i="40"/>
  <c r="F224" i="40"/>
  <c r="AR49" i="3"/>
  <c r="AT49" i="3"/>
  <c r="J47" i="45" s="1"/>
  <c r="AP49" i="3"/>
  <c r="H47" i="45"/>
  <c r="AO49" i="3"/>
  <c r="AK49" i="3" a="1"/>
  <c r="AK49" i="3" s="1"/>
  <c r="AQ49" i="3"/>
  <c r="AN49" i="3"/>
  <c r="AS49" i="3"/>
  <c r="AM49" i="3"/>
  <c r="I47" i="45" s="1"/>
  <c r="AN41" i="3"/>
  <c r="H39" i="45"/>
  <c r="AT41" i="3"/>
  <c r="J39" i="45" s="1"/>
  <c r="AP41" i="3"/>
  <c r="AQ41" i="3"/>
  <c r="AS41" i="3"/>
  <c r="AO41" i="3"/>
  <c r="AM41" i="3"/>
  <c r="I39" i="45" s="1"/>
  <c r="AK41" i="3" a="1"/>
  <c r="AK41" i="3" s="1"/>
  <c r="AR41" i="3"/>
  <c r="AK23" i="3" a="1"/>
  <c r="AK23" i="3" s="1"/>
  <c r="AT23" i="3"/>
  <c r="J21" i="45" s="1"/>
  <c r="H21" i="45"/>
  <c r="AO23" i="3"/>
  <c r="N103" i="3"/>
  <c r="AF104" i="3" s="1"/>
  <c r="AP23" i="3"/>
  <c r="AS23" i="3"/>
  <c r="AQ23" i="3"/>
  <c r="AN23" i="3"/>
  <c r="AR23" i="3"/>
  <c r="AM23" i="3"/>
  <c r="I21" i="45" s="1"/>
  <c r="N116" i="3"/>
  <c r="AF114" i="3" s="1"/>
  <c r="AS55" i="3"/>
  <c r="AK55" i="3" a="1"/>
  <c r="AK55" i="3" s="1"/>
  <c r="AO55" i="3"/>
  <c r="AR55" i="3"/>
  <c r="T5" i="45"/>
  <c r="AP55" i="3"/>
  <c r="AT55" i="3"/>
  <c r="V5" i="45" s="1"/>
  <c r="AN55" i="3"/>
  <c r="AM55" i="3"/>
  <c r="U5" i="45" s="1"/>
  <c r="AQ55" i="3"/>
  <c r="AN94" i="3"/>
  <c r="AM94" i="3"/>
  <c r="U44" i="45" s="1"/>
  <c r="AQ94" i="3"/>
  <c r="AK94" i="3" a="1"/>
  <c r="AK94" i="3" s="1"/>
  <c r="AS94" i="3"/>
  <c r="AT94" i="3"/>
  <c r="V44" i="45" s="1"/>
  <c r="AR94" i="3"/>
  <c r="AO94" i="3"/>
  <c r="T44" i="45"/>
  <c r="AP94" i="3"/>
  <c r="M108" i="3"/>
  <c r="AA108" i="3" s="1"/>
  <c r="D108" i="3" s="1"/>
  <c r="AK97" i="3" a="1"/>
  <c r="AK97" i="3" s="1"/>
  <c r="AN97" i="3"/>
  <c r="AS97" i="3"/>
  <c r="AR97" i="3"/>
  <c r="AM97" i="3"/>
  <c r="U47" i="45" s="1"/>
  <c r="AP97" i="3"/>
  <c r="AQ97" i="3"/>
  <c r="AO97" i="3"/>
  <c r="AT97" i="3"/>
  <c r="V47" i="45" s="1"/>
  <c r="T47" i="45"/>
  <c r="AP95" i="3"/>
  <c r="AR95" i="3"/>
  <c r="AM95" i="3"/>
  <c r="U45" i="45" s="1"/>
  <c r="AO95" i="3"/>
  <c r="N111" i="3"/>
  <c r="AF112" i="3" s="1"/>
  <c r="AS95" i="3"/>
  <c r="AN95" i="3"/>
  <c r="AQ95" i="3"/>
  <c r="AK95" i="3" a="1"/>
  <c r="AK95" i="3" s="1"/>
  <c r="AT95" i="3"/>
  <c r="V45" i="45" s="1"/>
  <c r="T45" i="45"/>
  <c r="BF65" i="3"/>
  <c r="BJ65" i="3" s="1"/>
  <c r="AR39" i="3"/>
  <c r="AM39" i="3"/>
  <c r="I37" i="45" s="1"/>
  <c r="M106" i="3"/>
  <c r="AA105" i="3" s="1"/>
  <c r="D105" i="3" s="1"/>
  <c r="AQ39" i="3"/>
  <c r="AS39" i="3"/>
  <c r="AN39" i="3"/>
  <c r="AT39" i="3"/>
  <c r="J37" i="45" s="1"/>
  <c r="H37" i="45"/>
  <c r="AP39" i="3"/>
  <c r="AO39" i="3"/>
  <c r="AK39" i="3" a="1"/>
  <c r="AK39" i="3" s="1"/>
  <c r="E199" i="40"/>
  <c r="E223" i="40"/>
  <c r="D156" i="40"/>
  <c r="E196" i="40"/>
  <c r="E22" i="40"/>
  <c r="J387" i="40"/>
  <c r="E260" i="40"/>
  <c r="D464" i="40"/>
  <c r="D307" i="40"/>
  <c r="D83" i="40"/>
  <c r="D253" i="40"/>
  <c r="D84" i="40"/>
  <c r="D326" i="40"/>
  <c r="G140" i="40"/>
  <c r="D220" i="40"/>
  <c r="D296" i="40"/>
  <c r="E187" i="40"/>
  <c r="E10" i="40"/>
  <c r="D189" i="40"/>
  <c r="D64" i="40"/>
  <c r="D357" i="40"/>
  <c r="G101" i="40"/>
  <c r="D147" i="40"/>
  <c r="D382" i="40"/>
  <c r="D360" i="40"/>
  <c r="E186" i="40"/>
  <c r="D407" i="40"/>
  <c r="D32" i="40"/>
  <c r="D402" i="40"/>
  <c r="E184" i="40"/>
  <c r="E251" i="40"/>
  <c r="D62" i="40"/>
  <c r="D380" i="40"/>
  <c r="G89" i="40"/>
  <c r="I388" i="40"/>
  <c r="I363" i="40"/>
  <c r="D121" i="40"/>
  <c r="D343" i="40"/>
  <c r="G113" i="40"/>
  <c r="D273" i="40"/>
  <c r="E232" i="40"/>
  <c r="G142" i="40"/>
  <c r="D97" i="40"/>
  <c r="G158" i="40"/>
  <c r="D397" i="40"/>
  <c r="D467" i="40"/>
  <c r="G11" i="40"/>
  <c r="D269" i="40"/>
  <c r="D344" i="40"/>
  <c r="G146" i="40"/>
  <c r="D483" i="40"/>
  <c r="D325" i="40"/>
  <c r="E215" i="40"/>
  <c r="I438" i="40"/>
  <c r="D48" i="40"/>
  <c r="D487" i="40"/>
  <c r="D329" i="40"/>
  <c r="D135" i="40"/>
  <c r="D287" i="40"/>
  <c r="D167" i="40"/>
  <c r="D319" i="40"/>
  <c r="D377" i="40"/>
  <c r="G82" i="40"/>
  <c r="D94" i="40"/>
  <c r="D412" i="40"/>
  <c r="G27" i="40"/>
  <c r="D375" i="40"/>
  <c r="D99" i="40"/>
  <c r="D308" i="40"/>
  <c r="D51" i="40"/>
  <c r="G104" i="40"/>
  <c r="D416" i="40"/>
  <c r="G103" i="40"/>
  <c r="D447" i="40"/>
  <c r="G60" i="40"/>
  <c r="D354" i="40"/>
  <c r="D290" i="40"/>
  <c r="E42" i="40"/>
  <c r="D444" i="40"/>
  <c r="J335" i="40"/>
  <c r="E43" i="40"/>
  <c r="D149" i="40"/>
  <c r="J441" i="40"/>
  <c r="D210" i="40"/>
  <c r="D20" i="40"/>
  <c r="E24" i="40"/>
  <c r="G76" i="40"/>
  <c r="G88" i="40"/>
  <c r="D252" i="40"/>
  <c r="D231" i="40"/>
  <c r="E262" i="40"/>
  <c r="E230" i="40"/>
  <c r="D303" i="40"/>
  <c r="J362" i="40"/>
  <c r="D353" i="40"/>
  <c r="D406" i="40"/>
  <c r="D49" i="40"/>
  <c r="D371" i="40"/>
  <c r="D293" i="40"/>
  <c r="E257" i="40"/>
  <c r="D372" i="40"/>
  <c r="D356" i="40"/>
  <c r="D451" i="40"/>
  <c r="D152" i="40"/>
  <c r="G75" i="40"/>
  <c r="D2" i="40"/>
  <c r="G3" i="40"/>
  <c r="D136" i="40"/>
  <c r="D350" i="40"/>
  <c r="G21" i="40"/>
  <c r="G115" i="40"/>
  <c r="D373" i="40"/>
  <c r="D300" i="40"/>
  <c r="J494" i="40"/>
  <c r="D315" i="40"/>
  <c r="D133" i="40"/>
  <c r="D396" i="40"/>
  <c r="D490" i="40"/>
  <c r="D381" i="40"/>
  <c r="E236" i="40"/>
  <c r="D276" i="40"/>
  <c r="D53" i="40"/>
  <c r="D445" i="40"/>
  <c r="D316" i="40"/>
  <c r="D427" i="40"/>
  <c r="D462" i="40"/>
  <c r="I454" i="40"/>
  <c r="D320" i="40"/>
  <c r="D435" i="40"/>
  <c r="G106" i="40"/>
  <c r="D69" i="40"/>
  <c r="D120" i="40"/>
  <c r="D385" i="40"/>
  <c r="E208" i="40"/>
  <c r="G162" i="40"/>
  <c r="D204" i="40"/>
  <c r="D298" i="40"/>
  <c r="J127" i="40"/>
  <c r="D132" i="40"/>
  <c r="J473" i="40"/>
  <c r="D347" i="40"/>
  <c r="D217" i="40"/>
  <c r="D241" i="40"/>
  <c r="E171" i="40"/>
  <c r="G40" i="40"/>
  <c r="D219" i="40"/>
  <c r="D448" i="40"/>
  <c r="J366" i="40"/>
  <c r="D33" i="40"/>
  <c r="J437" i="40"/>
  <c r="D337" i="40"/>
  <c r="G112" i="40"/>
  <c r="G58" i="40"/>
  <c r="D400" i="40"/>
  <c r="D410" i="40"/>
  <c r="D310" i="40"/>
  <c r="G57" i="40"/>
  <c r="E46" i="40"/>
  <c r="D63" i="40"/>
  <c r="G6" i="40"/>
  <c r="D409" i="40"/>
  <c r="D292" i="40"/>
  <c r="E214" i="40"/>
  <c r="G165" i="40"/>
  <c r="J480" i="40"/>
  <c r="J331" i="40"/>
  <c r="G128" i="40"/>
  <c r="D270" i="40"/>
  <c r="D471" i="40"/>
  <c r="D322" i="40"/>
  <c r="I332" i="40"/>
  <c r="E177" i="40"/>
  <c r="D188" i="40"/>
  <c r="D311" i="40"/>
  <c r="E227" i="40"/>
  <c r="D238" i="40"/>
  <c r="G78" i="40"/>
  <c r="E9" i="40"/>
  <c r="E28" i="40"/>
  <c r="D71" i="40"/>
  <c r="D321" i="40"/>
  <c r="G73" i="40"/>
  <c r="D432" i="40"/>
  <c r="E195" i="40"/>
  <c r="E25" i="40"/>
  <c r="E224" i="40"/>
  <c r="D175" i="40"/>
  <c r="G37" i="40"/>
  <c r="D72" i="40"/>
  <c r="D182" i="40"/>
  <c r="D203" i="40"/>
  <c r="D211" i="40"/>
  <c r="G139" i="40"/>
  <c r="D150" i="40"/>
  <c r="D267" i="40"/>
  <c r="G86" i="40"/>
  <c r="D294" i="40"/>
  <c r="D413" i="40"/>
  <c r="E18" i="40"/>
  <c r="D12" i="40"/>
  <c r="D56" i="40"/>
  <c r="E30" i="40"/>
  <c r="D403" i="40"/>
  <c r="E209" i="40"/>
  <c r="D92" i="40"/>
  <c r="D399" i="40"/>
  <c r="J425" i="40"/>
  <c r="D5" i="40"/>
  <c r="D176" i="40"/>
  <c r="D35" i="40"/>
  <c r="I474" i="40"/>
  <c r="D392" i="40"/>
  <c r="D100" i="40"/>
  <c r="J369" i="40"/>
  <c r="D393" i="40"/>
  <c r="E198" i="40"/>
  <c r="G61" i="40"/>
  <c r="G19" i="40"/>
  <c r="D68" i="40"/>
  <c r="D191" i="40"/>
  <c r="E248" i="40"/>
  <c r="E173" i="40"/>
  <c r="D431" i="40"/>
  <c r="E278" i="40"/>
  <c r="E206" i="40"/>
  <c r="D118" i="40"/>
  <c r="D4" i="40"/>
  <c r="I419" i="40"/>
  <c r="D117" i="40"/>
  <c r="D301" i="40"/>
  <c r="G159" i="40"/>
  <c r="G137" i="40"/>
  <c r="E15" i="40"/>
  <c r="D169" i="40"/>
  <c r="D255" i="40"/>
  <c r="D96" i="40"/>
  <c r="D54" i="40"/>
  <c r="E221" i="40"/>
  <c r="D13" i="40"/>
  <c r="E193" i="40"/>
  <c r="D272" i="40"/>
  <c r="G122" i="40"/>
  <c r="D67" i="40"/>
  <c r="J453" i="40"/>
  <c r="E233" i="40"/>
  <c r="D192" i="40"/>
  <c r="G143" i="40"/>
  <c r="E235" i="40"/>
  <c r="D468" i="40"/>
  <c r="D434" i="40"/>
  <c r="D314" i="40"/>
  <c r="D351" i="40"/>
  <c r="G116" i="40"/>
  <c r="D484" i="40"/>
  <c r="J477" i="40"/>
  <c r="E180" i="40"/>
  <c r="D341" i="40"/>
  <c r="D90" i="40"/>
  <c r="D324" i="40"/>
  <c r="E259" i="40"/>
  <c r="D26" i="40"/>
  <c r="D289" i="40"/>
  <c r="D305" i="40"/>
  <c r="D384" i="40"/>
  <c r="D216" i="40"/>
  <c r="J460" i="40"/>
  <c r="E205" i="40"/>
  <c r="G14" i="40"/>
  <c r="E181" i="40"/>
  <c r="D395" i="40"/>
  <c r="D168" i="40"/>
  <c r="D55" i="40"/>
  <c r="E202" i="40"/>
  <c r="D428" i="40"/>
  <c r="E212" i="40"/>
  <c r="G79" i="40"/>
  <c r="E242" i="40"/>
  <c r="E247" i="40"/>
  <c r="D95" i="40"/>
  <c r="D153" i="40"/>
  <c r="J422" i="40"/>
  <c r="G85" i="40"/>
  <c r="D317" i="40"/>
  <c r="E174" i="40"/>
  <c r="D304" i="40"/>
  <c r="G131" i="40"/>
  <c r="G110" i="40"/>
  <c r="D336" i="40"/>
  <c r="D47" i="40"/>
  <c r="D111" i="40"/>
  <c r="E17" i="40"/>
  <c r="E263" i="40"/>
  <c r="D295" i="40"/>
  <c r="D36" i="40"/>
  <c r="D240" i="40"/>
  <c r="E7" i="40"/>
  <c r="E244" i="40"/>
  <c r="D346" i="40"/>
  <c r="D442" i="40"/>
  <c r="E245" i="40"/>
  <c r="D299" i="40"/>
  <c r="E31" i="40"/>
  <c r="G39" i="40"/>
  <c r="G124" i="40"/>
  <c r="E266" i="40"/>
  <c r="D256" i="40"/>
  <c r="E285" i="40"/>
  <c r="D66" i="40"/>
  <c r="D91" i="40"/>
  <c r="J418" i="40"/>
  <c r="E178" i="40"/>
  <c r="D183" i="40"/>
  <c r="D170" i="40"/>
  <c r="D430" i="40"/>
  <c r="E226" i="40"/>
  <c r="E282" i="40"/>
  <c r="G125" i="40"/>
  <c r="D376" i="40"/>
  <c r="D340" i="40"/>
  <c r="J457" i="40"/>
  <c r="D50" i="40"/>
  <c r="E279" i="40"/>
  <c r="D288" i="40"/>
  <c r="D328" i="40"/>
  <c r="J391" i="40"/>
  <c r="D465" i="40"/>
  <c r="G107" i="40"/>
  <c r="D339" i="40"/>
  <c r="D237" i="40"/>
  <c r="D378" i="40"/>
  <c r="AP79" i="3"/>
  <c r="AS79" i="3"/>
  <c r="AK79" i="3" a="1"/>
  <c r="AK79" i="3" s="1"/>
  <c r="AO79" i="3"/>
  <c r="T29" i="45"/>
  <c r="N112" i="3"/>
  <c r="AF111" i="3" s="1"/>
  <c r="AQ79" i="3"/>
  <c r="AM79" i="3"/>
  <c r="U29" i="45" s="1"/>
  <c r="AR79" i="3"/>
  <c r="AN79" i="3"/>
  <c r="AT79" i="3"/>
  <c r="V29" i="45" s="1"/>
  <c r="C176" i="40"/>
  <c r="H374" i="40"/>
  <c r="C287" i="40"/>
  <c r="C368" i="40"/>
  <c r="C263" i="40"/>
  <c r="C226" i="40"/>
  <c r="C114" i="40"/>
  <c r="G18" i="40"/>
  <c r="C389" i="40"/>
  <c r="C142" i="40"/>
  <c r="G34" i="40"/>
  <c r="G7" i="40"/>
  <c r="G92" i="40"/>
  <c r="C373" i="40"/>
  <c r="G298" i="40"/>
  <c r="C436" i="40"/>
  <c r="C480" i="40"/>
  <c r="G135" i="40"/>
  <c r="C490" i="40"/>
  <c r="C220" i="40"/>
  <c r="C333" i="40"/>
  <c r="G164" i="40"/>
  <c r="H52" i="40"/>
  <c r="C189" i="40"/>
  <c r="G153" i="40"/>
  <c r="C450" i="40"/>
  <c r="C82" i="40"/>
  <c r="G129" i="40"/>
  <c r="C496" i="40"/>
  <c r="C229" i="40"/>
  <c r="C319" i="40"/>
  <c r="G53" i="40"/>
  <c r="H215" i="40"/>
  <c r="G42" i="40"/>
  <c r="C468" i="40"/>
  <c r="C424" i="40"/>
  <c r="G16" i="40"/>
  <c r="G66" i="40"/>
  <c r="C110" i="40"/>
  <c r="G72" i="40"/>
  <c r="G81" i="40"/>
  <c r="C203" i="40"/>
  <c r="C253" i="40"/>
  <c r="C175" i="40"/>
  <c r="C446" i="40"/>
  <c r="C290" i="40"/>
  <c r="C199" i="40"/>
  <c r="C406" i="40"/>
  <c r="H212" i="40"/>
  <c r="C241" i="40"/>
  <c r="C355" i="40"/>
  <c r="G152" i="40"/>
  <c r="C334" i="40"/>
  <c r="G105" i="40"/>
  <c r="H302" i="40"/>
  <c r="C283" i="40"/>
  <c r="C192" i="40"/>
  <c r="C274" i="40"/>
  <c r="J458" i="40"/>
  <c r="C416" i="40"/>
  <c r="C423" i="40"/>
  <c r="C387" i="40"/>
  <c r="G33" i="40"/>
  <c r="C285" i="40"/>
  <c r="C19" i="40"/>
  <c r="H93" i="40"/>
  <c r="C83" i="40"/>
  <c r="C61" i="40"/>
  <c r="C481" i="40"/>
  <c r="G97" i="40"/>
  <c r="G8" i="40"/>
  <c r="H309" i="40"/>
  <c r="C227" i="40"/>
  <c r="G70" i="40"/>
  <c r="C491" i="40"/>
  <c r="C131" i="40"/>
  <c r="C376" i="40"/>
  <c r="H312" i="40"/>
  <c r="C386" i="40"/>
  <c r="H187" i="40"/>
  <c r="H186" i="40"/>
  <c r="H185" i="40"/>
  <c r="C448" i="40"/>
  <c r="G100" i="40"/>
  <c r="C198" i="40"/>
  <c r="C428" i="40"/>
  <c r="G127" i="40"/>
  <c r="H297" i="40"/>
  <c r="C254" i="40"/>
  <c r="H318" i="40"/>
  <c r="C311" i="40"/>
  <c r="G17" i="40"/>
  <c r="C426" i="40"/>
  <c r="G130" i="40"/>
  <c r="C330" i="40"/>
  <c r="G109" i="40"/>
  <c r="C335" i="40"/>
  <c r="C459" i="40"/>
  <c r="G296" i="40"/>
  <c r="G45" i="40"/>
  <c r="G22" i="40"/>
  <c r="G99" i="40"/>
  <c r="G28" i="40"/>
  <c r="G41" i="40"/>
  <c r="H338" i="40"/>
  <c r="C356" i="40"/>
  <c r="G31" i="40"/>
  <c r="C323" i="40"/>
  <c r="C379" i="40"/>
  <c r="C467" i="40"/>
  <c r="C55" i="40"/>
  <c r="H304" i="40"/>
  <c r="C359" i="40"/>
  <c r="C286" i="40"/>
  <c r="G64" i="40"/>
  <c r="G54" i="40"/>
  <c r="C414" i="40"/>
  <c r="C179" i="40"/>
  <c r="C430" i="40"/>
  <c r="H313" i="40"/>
  <c r="H315" i="40"/>
  <c r="C310" i="40"/>
  <c r="C165" i="40"/>
  <c r="C350" i="40"/>
  <c r="G15" i="40"/>
  <c r="G95" i="40"/>
  <c r="H169" i="40"/>
  <c r="H184" i="40"/>
  <c r="C478" i="40"/>
  <c r="C479" i="40"/>
  <c r="H401" i="40"/>
  <c r="C191" i="40"/>
  <c r="G154" i="40"/>
  <c r="C197" i="40"/>
  <c r="C115" i="40"/>
  <c r="C413" i="40"/>
  <c r="C415" i="40"/>
  <c r="C273" i="40"/>
  <c r="C488" i="40"/>
  <c r="G120" i="40"/>
  <c r="H349" i="40"/>
  <c r="G13" i="40"/>
  <c r="C402" i="40"/>
  <c r="C460" i="40"/>
  <c r="C206" i="40"/>
  <c r="G163" i="40"/>
  <c r="C320" i="40"/>
  <c r="C324" i="40"/>
  <c r="C261" i="40"/>
  <c r="C322" i="40"/>
  <c r="H340" i="40"/>
  <c r="G71" i="40"/>
  <c r="G121" i="40"/>
  <c r="H213" i="40"/>
  <c r="C346" i="40"/>
  <c r="C271" i="40"/>
  <c r="G9" i="40"/>
  <c r="C240" i="40"/>
  <c r="C272" i="40"/>
  <c r="C56" i="40"/>
  <c r="C208" i="40"/>
  <c r="C238" i="40"/>
  <c r="G94" i="40"/>
  <c r="C200" i="40"/>
  <c r="G36" i="40"/>
  <c r="C331" i="40"/>
  <c r="C218" i="40"/>
  <c r="H90" i="40"/>
  <c r="C378" i="40"/>
  <c r="G134" i="40"/>
  <c r="G25" i="40"/>
  <c r="C181" i="40"/>
  <c r="H337" i="40"/>
  <c r="G98" i="40"/>
  <c r="G108" i="40"/>
  <c r="G145" i="40"/>
  <c r="G80" i="40"/>
  <c r="C357" i="40"/>
  <c r="C471" i="40"/>
  <c r="C317" i="40"/>
  <c r="C217" i="40"/>
  <c r="C107" i="40"/>
  <c r="C84" i="40"/>
  <c r="H345" i="40"/>
  <c r="G35" i="40"/>
  <c r="H174" i="40"/>
  <c r="C370" i="40"/>
  <c r="G30" i="40"/>
  <c r="C411" i="40"/>
  <c r="C466" i="40"/>
  <c r="C250" i="40"/>
  <c r="G126" i="40"/>
  <c r="C248" i="40"/>
  <c r="G299" i="40"/>
  <c r="C87" i="40"/>
  <c r="H339" i="40"/>
  <c r="C225" i="40"/>
  <c r="C360" i="40"/>
  <c r="C209" i="40"/>
  <c r="C89" i="40"/>
  <c r="J447" i="40"/>
  <c r="H395" i="40"/>
  <c r="C358" i="40"/>
  <c r="H62" i="40"/>
  <c r="C11" i="40"/>
  <c r="G44" i="40"/>
  <c r="C431" i="40"/>
  <c r="C249" i="40"/>
  <c r="C78" i="40"/>
  <c r="C292" i="40"/>
  <c r="G46" i="40"/>
  <c r="G119" i="40"/>
  <c r="G10" i="40"/>
  <c r="C347" i="40"/>
  <c r="G5" i="40"/>
  <c r="C461" i="40"/>
  <c r="C236" i="40"/>
  <c r="C367" i="40"/>
  <c r="C489" i="40"/>
  <c r="C469" i="40"/>
  <c r="C235" i="40"/>
  <c r="G20" i="40"/>
  <c r="C439" i="40"/>
  <c r="H182" i="40"/>
  <c r="H65" i="40"/>
  <c r="C314" i="40"/>
  <c r="C288" i="40"/>
  <c r="H394" i="40"/>
  <c r="C180" i="40"/>
  <c r="C381" i="40"/>
  <c r="C58" i="40"/>
  <c r="G133" i="40"/>
  <c r="C264" i="40"/>
  <c r="C246" i="40"/>
  <c r="G166" i="40"/>
  <c r="G168" i="40"/>
  <c r="G118" i="40"/>
  <c r="C230" i="40"/>
  <c r="C116" i="40"/>
  <c r="C275" i="40"/>
  <c r="C449" i="40"/>
  <c r="C391" i="40"/>
  <c r="G69" i="40"/>
  <c r="G26" i="40"/>
  <c r="C437" i="40"/>
  <c r="C146" i="40"/>
  <c r="H393" i="40"/>
  <c r="C190" i="40"/>
  <c r="C325" i="40"/>
  <c r="H171" i="40"/>
  <c r="H172" i="40"/>
  <c r="C375" i="40"/>
  <c r="C143" i="40"/>
  <c r="C59" i="40"/>
  <c r="C332" i="40"/>
  <c r="G12" i="40"/>
  <c r="C369" i="40"/>
  <c r="C470" i="40"/>
  <c r="C167" i="40"/>
  <c r="G144" i="40"/>
  <c r="C204" i="40"/>
  <c r="C451" i="40"/>
  <c r="C88" i="40"/>
  <c r="C425" i="40"/>
  <c r="C233" i="40"/>
  <c r="C284" i="40"/>
  <c r="H405" i="40"/>
  <c r="C113" i="40"/>
  <c r="G151" i="40"/>
  <c r="C239" i="40"/>
  <c r="C276" i="40"/>
  <c r="C251" i="40"/>
  <c r="H303" i="40"/>
  <c r="C207" i="40"/>
  <c r="C291" i="40"/>
  <c r="C234" i="40"/>
  <c r="G48" i="40"/>
  <c r="C47" i="40"/>
  <c r="C412" i="40"/>
  <c r="G141" i="40"/>
  <c r="C440" i="40"/>
  <c r="C441" i="40"/>
  <c r="C60" i="40"/>
  <c r="C202" i="40"/>
  <c r="H404" i="40"/>
  <c r="G156" i="40"/>
  <c r="G43" i="40"/>
  <c r="H294" i="40"/>
  <c r="C86" i="40"/>
  <c r="C266" i="40"/>
  <c r="J247" i="40"/>
  <c r="C388" i="40"/>
  <c r="C111" i="40"/>
  <c r="G67" i="40"/>
  <c r="G51" i="40"/>
  <c r="G155" i="40"/>
  <c r="H371" i="40"/>
  <c r="C106" i="40"/>
  <c r="H49" i="40"/>
  <c r="C265" i="40"/>
  <c r="C380" i="40"/>
  <c r="C390" i="40"/>
  <c r="C201" i="40"/>
  <c r="C231" i="40"/>
  <c r="G29" i="40"/>
  <c r="G24" i="40"/>
  <c r="C256" i="40"/>
  <c r="H210" i="40"/>
  <c r="C429" i="40"/>
  <c r="H396" i="40"/>
  <c r="G77" i="40"/>
  <c r="C262" i="40"/>
  <c r="H214" i="40"/>
  <c r="C255" i="40"/>
  <c r="C219" i="40"/>
  <c r="C128" i="40"/>
  <c r="C403" i="40"/>
  <c r="C178" i="40"/>
  <c r="C79" i="40"/>
  <c r="C438" i="40"/>
  <c r="C228" i="40"/>
  <c r="G136" i="40"/>
  <c r="C3" i="40"/>
  <c r="G2" i="40"/>
  <c r="G4" i="40"/>
  <c r="G23" i="40"/>
  <c r="H348" i="40"/>
  <c r="H301" i="40"/>
  <c r="C293" i="40"/>
  <c r="H173" i="40"/>
  <c r="AM88" i="3"/>
  <c r="U38" i="45" s="1"/>
  <c r="AO88" i="3"/>
  <c r="AT88" i="3"/>
  <c r="V38" i="45" s="1"/>
  <c r="AR88" i="3"/>
  <c r="AQ88" i="3"/>
  <c r="AN88" i="3"/>
  <c r="AP88" i="3"/>
  <c r="T38" i="45"/>
  <c r="AK88" i="3" a="1"/>
  <c r="AK88" i="3" s="1"/>
  <c r="AS88" i="3"/>
  <c r="AS46" i="3"/>
  <c r="AQ46" i="3"/>
  <c r="AN46" i="3"/>
  <c r="H44" i="45"/>
  <c r="M103" i="3"/>
  <c r="AA104" i="3" s="1"/>
  <c r="AP46" i="3"/>
  <c r="AR46" i="3"/>
  <c r="AO46" i="3"/>
  <c r="AK46" i="3" a="1"/>
  <c r="AK46" i="3" s="1"/>
  <c r="AM46" i="3"/>
  <c r="I44" i="45" s="1"/>
  <c r="AT46" i="3"/>
  <c r="J44" i="45" s="1"/>
  <c r="AK64" i="3" a="1"/>
  <c r="AK64" i="3" s="1"/>
  <c r="AR64" i="3"/>
  <c r="AT64" i="3"/>
  <c r="V14" i="45" s="1"/>
  <c r="AM64" i="3"/>
  <c r="U14" i="45" s="1"/>
  <c r="AQ64" i="3"/>
  <c r="AN64" i="3"/>
  <c r="AO64" i="3"/>
  <c r="AP64" i="3"/>
  <c r="T14" i="45"/>
  <c r="AS64" i="3"/>
  <c r="I270" i="40"/>
  <c r="I224" i="40"/>
  <c r="I161" i="40"/>
  <c r="D394" i="40"/>
  <c r="E8" i="40"/>
  <c r="I365" i="40"/>
  <c r="J195" i="40"/>
  <c r="C427" i="40"/>
  <c r="D443" i="40"/>
  <c r="J88" i="40"/>
  <c r="J135" i="40"/>
  <c r="J75" i="40"/>
  <c r="J328" i="40"/>
  <c r="I265" i="40"/>
  <c r="I181" i="40"/>
  <c r="C383" i="40"/>
  <c r="E23" i="40"/>
  <c r="I187" i="40"/>
  <c r="G47" i="40"/>
  <c r="J358" i="40"/>
  <c r="C232" i="40"/>
  <c r="E13" i="40"/>
  <c r="G90" i="40"/>
  <c r="E179" i="40"/>
  <c r="I476" i="40"/>
  <c r="G132" i="40"/>
  <c r="J259" i="40"/>
  <c r="I334" i="40"/>
  <c r="J124" i="40"/>
  <c r="E12" i="40"/>
  <c r="J420" i="40"/>
  <c r="I260" i="40"/>
  <c r="J399" i="40"/>
  <c r="E172" i="40"/>
  <c r="E34" i="40"/>
  <c r="I344" i="40"/>
  <c r="J99" i="40"/>
  <c r="J348" i="40"/>
  <c r="I335" i="40"/>
  <c r="J406" i="40"/>
  <c r="G55" i="40"/>
  <c r="G84" i="40"/>
  <c r="I10" i="40"/>
  <c r="I299" i="40"/>
  <c r="I220" i="40"/>
  <c r="D429" i="40"/>
  <c r="J280" i="40"/>
  <c r="I376" i="40"/>
  <c r="J173" i="40"/>
  <c r="I229" i="40"/>
  <c r="I405" i="40"/>
  <c r="E2" i="40"/>
  <c r="G148" i="40"/>
  <c r="J208" i="40"/>
  <c r="G93" i="40"/>
  <c r="G87" i="40"/>
  <c r="C316" i="40"/>
  <c r="J389" i="40"/>
  <c r="E182" i="40"/>
  <c r="J276" i="40"/>
  <c r="E20" i="40"/>
  <c r="E16" i="40"/>
  <c r="E27" i="40"/>
  <c r="E190" i="40"/>
  <c r="J303" i="40"/>
  <c r="J66" i="40"/>
  <c r="I308" i="40"/>
  <c r="J380" i="40"/>
  <c r="E254" i="40"/>
  <c r="J286" i="40"/>
  <c r="I400" i="40"/>
  <c r="E239" i="40"/>
  <c r="I145" i="40"/>
  <c r="I415" i="40"/>
  <c r="C377" i="40"/>
  <c r="I31" i="40"/>
  <c r="I256" i="40"/>
  <c r="J156" i="40"/>
  <c r="J314" i="40"/>
  <c r="I477" i="40"/>
  <c r="C177" i="40"/>
  <c r="J223" i="40"/>
  <c r="J409" i="40"/>
  <c r="E5" i="40"/>
  <c r="I349" i="40"/>
  <c r="G138" i="40"/>
  <c r="D134" i="40"/>
  <c r="G50" i="40"/>
  <c r="D408" i="40"/>
  <c r="G398" i="40"/>
  <c r="I385" i="40"/>
  <c r="J44" i="40"/>
  <c r="I236" i="40"/>
  <c r="I109" i="40"/>
  <c r="J444" i="40"/>
  <c r="J214" i="40"/>
  <c r="J39" i="40"/>
  <c r="E3" i="40"/>
  <c r="I275" i="40"/>
  <c r="J414" i="40"/>
  <c r="E222" i="40"/>
  <c r="E183" i="40"/>
  <c r="E268" i="40"/>
  <c r="J449" i="40"/>
  <c r="I440" i="40"/>
  <c r="E4" i="40"/>
  <c r="I241" i="40"/>
  <c r="G96" i="40"/>
  <c r="I313" i="40"/>
  <c r="E211" i="40"/>
  <c r="J274" i="40"/>
  <c r="E216" i="40"/>
  <c r="J471" i="40"/>
  <c r="D352" i="40"/>
  <c r="E176" i="40"/>
  <c r="G56" i="40"/>
  <c r="J53" i="40"/>
  <c r="D302" i="40"/>
  <c r="J364" i="40"/>
  <c r="D338" i="40"/>
  <c r="G52" i="40"/>
  <c r="J461" i="40"/>
  <c r="D98" i="40"/>
  <c r="G295" i="40"/>
  <c r="J491" i="40"/>
  <c r="I250" i="40"/>
  <c r="E21" i="40"/>
  <c r="J319" i="40"/>
  <c r="G288" i="40"/>
  <c r="G392" i="40"/>
  <c r="I18" i="40"/>
  <c r="J439" i="40"/>
  <c r="J180" i="40"/>
  <c r="J166" i="40"/>
  <c r="I201" i="40"/>
  <c r="I215" i="40"/>
  <c r="C289" i="40"/>
  <c r="E11" i="40"/>
  <c r="I81" i="40"/>
  <c r="G336" i="40"/>
  <c r="D70" i="40"/>
  <c r="G294" i="40"/>
  <c r="J94" i="40"/>
  <c r="J282" i="40"/>
  <c r="J451" i="40"/>
  <c r="E26" i="40"/>
  <c r="J110" i="40"/>
  <c r="J475" i="40"/>
  <c r="C57" i="40"/>
  <c r="E204" i="40"/>
  <c r="J129" i="40"/>
  <c r="I390" i="40"/>
  <c r="I192" i="40"/>
  <c r="G111" i="40"/>
  <c r="I431" i="40"/>
  <c r="E213" i="40"/>
  <c r="G114" i="40"/>
  <c r="J339" i="40"/>
  <c r="G117" i="40"/>
  <c r="C321" i="40"/>
  <c r="E188" i="40"/>
  <c r="C85" i="40"/>
  <c r="J434" i="40"/>
  <c r="J35" i="40"/>
  <c r="I89" i="40"/>
  <c r="E203" i="40"/>
  <c r="C374" i="40"/>
  <c r="J228" i="40"/>
  <c r="I245" i="40"/>
  <c r="I100" i="40"/>
  <c r="J71" i="40"/>
  <c r="J80" i="40"/>
  <c r="J481" i="40"/>
  <c r="J200" i="40"/>
  <c r="I121" i="40"/>
  <c r="E252" i="40"/>
  <c r="J202" i="40"/>
  <c r="G102" i="40"/>
  <c r="C433" i="40"/>
  <c r="G74" i="40"/>
  <c r="J350" i="40"/>
  <c r="J144" i="40"/>
  <c r="E237" i="40"/>
  <c r="C327" i="40"/>
  <c r="J160" i="40"/>
  <c r="I456" i="40"/>
  <c r="J9" i="40"/>
  <c r="I136" i="40"/>
  <c r="G32" i="40"/>
  <c r="G300" i="40"/>
  <c r="I36" i="40"/>
  <c r="E234" i="40"/>
  <c r="J384" i="40"/>
  <c r="J487" i="40"/>
  <c r="I76" i="40"/>
  <c r="I196" i="40"/>
  <c r="I140" i="40"/>
  <c r="I25" i="40"/>
  <c r="J82" i="40"/>
  <c r="E194" i="40"/>
  <c r="J139" i="40"/>
  <c r="J191" i="40"/>
  <c r="J30" i="40"/>
  <c r="G65" i="40"/>
  <c r="I116" i="40"/>
  <c r="I281" i="40"/>
  <c r="I61" i="40"/>
  <c r="I54" i="40"/>
  <c r="I45" i="40"/>
  <c r="J375" i="40"/>
  <c r="J292" i="40"/>
  <c r="J60" i="40"/>
  <c r="J404" i="40"/>
  <c r="I325" i="40"/>
  <c r="J324" i="40"/>
  <c r="J103" i="40"/>
  <c r="J495" i="40"/>
  <c r="I441" i="40"/>
  <c r="J264" i="40"/>
  <c r="G123" i="40"/>
  <c r="G38" i="40"/>
  <c r="G291" i="40"/>
  <c r="J219" i="40"/>
  <c r="J154" i="40"/>
  <c r="I304" i="40"/>
  <c r="E14" i="40"/>
  <c r="I174" i="40"/>
  <c r="E258" i="40"/>
  <c r="J162" i="40"/>
  <c r="J298" i="40"/>
  <c r="I72" i="40"/>
  <c r="C315" i="40"/>
  <c r="E29" i="40"/>
  <c r="J186" i="40"/>
  <c r="J370" i="40"/>
  <c r="C318" i="40"/>
  <c r="G342" i="40"/>
  <c r="J146" i="40"/>
  <c r="J249" i="40"/>
  <c r="J230" i="40"/>
  <c r="G62" i="40"/>
  <c r="J266" i="40"/>
  <c r="I67" i="40"/>
  <c r="E168" i="40"/>
  <c r="C205" i="40"/>
  <c r="D379" i="40"/>
  <c r="J17" i="40"/>
  <c r="I366" i="40"/>
  <c r="I130" i="40"/>
  <c r="J131" i="40"/>
  <c r="J244" i="40"/>
  <c r="I435" i="40"/>
  <c r="I354" i="40"/>
  <c r="J255" i="40"/>
  <c r="J307" i="40"/>
  <c r="G63" i="40"/>
  <c r="J343" i="40"/>
  <c r="E207" i="40"/>
  <c r="J120" i="40"/>
  <c r="E48" i="40"/>
  <c r="J108" i="40"/>
  <c r="E6" i="40"/>
  <c r="C372" i="40"/>
  <c r="J353" i="40"/>
  <c r="G306" i="40"/>
  <c r="I465" i="40"/>
  <c r="C112" i="40"/>
  <c r="I40" i="40"/>
  <c r="G297" i="40"/>
  <c r="E185" i="40"/>
  <c r="E167" i="40"/>
  <c r="J115" i="40"/>
  <c r="J469" i="40"/>
  <c r="I320" i="40"/>
  <c r="J485" i="40"/>
  <c r="I150" i="40"/>
  <c r="I155" i="40"/>
  <c r="E170" i="40"/>
  <c r="J312" i="40"/>
  <c r="I457" i="40"/>
  <c r="J455" i="40"/>
  <c r="E210" i="40"/>
  <c r="E169" i="40"/>
  <c r="E231" i="40"/>
  <c r="I381" i="40"/>
  <c r="I329" i="40"/>
  <c r="J464" i="40"/>
  <c r="J430" i="40"/>
  <c r="I450" i="40"/>
  <c r="G83" i="40"/>
  <c r="E175" i="40"/>
  <c r="G287" i="40"/>
  <c r="I209" i="40"/>
  <c r="J360" i="40"/>
  <c r="I340" i="40"/>
  <c r="E218" i="40"/>
  <c r="I95" i="40"/>
  <c r="I410" i="40"/>
  <c r="I104" i="40"/>
  <c r="D323" i="40"/>
  <c r="J251" i="40"/>
  <c r="G59" i="40"/>
  <c r="C371" i="40"/>
  <c r="G68" i="40"/>
  <c r="J24" i="40"/>
  <c r="I293" i="40"/>
  <c r="D119" i="40"/>
  <c r="G91" i="40"/>
  <c r="G49" i="40"/>
  <c r="I486" i="40"/>
  <c r="J149" i="40"/>
  <c r="I445" i="40"/>
  <c r="J395" i="40"/>
  <c r="E243" i="40"/>
  <c r="I422" i="40"/>
  <c r="I470" i="40"/>
  <c r="J269" i="40"/>
  <c r="I391" i="40"/>
  <c r="J240" i="40"/>
  <c r="I421" i="40"/>
  <c r="J46" i="40"/>
  <c r="I396" i="40"/>
  <c r="I125" i="40"/>
  <c r="J416" i="40"/>
  <c r="E19" i="40"/>
  <c r="J333" i="40"/>
  <c r="I359" i="40"/>
  <c r="J235" i="40"/>
  <c r="J426" i="40"/>
  <c r="D463" i="40"/>
  <c r="AK70" i="3" a="1"/>
  <c r="AK70" i="3" s="1"/>
  <c r="AQ70" i="3"/>
  <c r="AP70" i="3"/>
  <c r="AT70" i="3"/>
  <c r="V20" i="45" s="1"/>
  <c r="AO70" i="3"/>
  <c r="AS70" i="3"/>
  <c r="AN70" i="3"/>
  <c r="AM70" i="3"/>
  <c r="U20" i="45" s="1"/>
  <c r="AR70" i="3"/>
  <c r="T20" i="45"/>
  <c r="M105" i="3"/>
  <c r="AA106" i="3" s="1"/>
  <c r="D106" i="3" s="1"/>
  <c r="AM38" i="3"/>
  <c r="I36" i="45" s="1"/>
  <c r="AT38" i="3"/>
  <c r="J36" i="45" s="1"/>
  <c r="H36" i="45"/>
  <c r="M102" i="3"/>
  <c r="AA103" i="3" s="1"/>
  <c r="D103" i="3" s="1"/>
  <c r="AK38" i="3" a="1"/>
  <c r="AK38" i="3" s="1"/>
  <c r="AS38" i="3"/>
  <c r="AO38" i="3"/>
  <c r="AQ38" i="3"/>
  <c r="AN38" i="3"/>
  <c r="AR38" i="3"/>
  <c r="AP38" i="3"/>
  <c r="BF69" i="3" l="1"/>
  <c r="BE69" i="3" s="1"/>
  <c r="BR69" i="3" s="1"/>
  <c r="W14" i="45"/>
  <c r="BF64" i="3"/>
  <c r="BJ64" i="3" s="1"/>
  <c r="BF61" i="3"/>
  <c r="BJ61" i="3" s="1"/>
  <c r="BF62" i="3"/>
  <c r="BF68" i="3"/>
  <c r="BE68" i="3" s="1"/>
  <c r="BR68" i="3" s="1"/>
  <c r="BF66" i="3"/>
  <c r="BJ66" i="3" s="1"/>
  <c r="BF58" i="3"/>
  <c r="BK58" i="3" s="1"/>
  <c r="BF67" i="3"/>
  <c r="BJ67" i="3" s="1"/>
  <c r="BE64" i="3"/>
  <c r="BR64" i="3" s="1"/>
  <c r="BE65" i="3"/>
  <c r="BR65" i="3" s="1"/>
  <c r="BE63" i="3"/>
  <c r="BR63" i="3" s="1"/>
  <c r="BK60" i="3"/>
  <c r="BJ60" i="3"/>
  <c r="BJ62" i="3"/>
  <c r="BK66" i="3"/>
  <c r="BE61" i="3"/>
  <c r="BR61" i="3" s="1"/>
  <c r="BK59" i="3"/>
  <c r="BL59" i="3" s="1"/>
  <c r="BK61" i="3"/>
  <c r="BK65" i="3"/>
  <c r="BL65" i="3" s="1"/>
  <c r="BK64" i="3"/>
  <c r="BK68" i="3"/>
  <c r="BJ68" i="3"/>
  <c r="BE66" i="3"/>
  <c r="BR66" i="3" s="1"/>
  <c r="BE59" i="3"/>
  <c r="BR59" i="3" s="1"/>
  <c r="BK63" i="3"/>
  <c r="BL63" i="3" s="1"/>
  <c r="BJ69" i="3"/>
  <c r="BK69" i="3"/>
  <c r="D104" i="3"/>
  <c r="AG104" i="3" s="1"/>
  <c r="AG116" i="3"/>
  <c r="N127" i="3"/>
  <c r="AF127" i="3" s="1"/>
  <c r="AG115" i="3"/>
  <c r="M126" i="3"/>
  <c r="AA126" i="3" s="1"/>
  <c r="AG114" i="3"/>
  <c r="N126" i="3"/>
  <c r="AF126" i="3" s="1"/>
  <c r="AG113" i="3"/>
  <c r="M127" i="3"/>
  <c r="AA127" i="3" s="1"/>
  <c r="D127" i="3" s="1"/>
  <c r="AG112" i="3"/>
  <c r="M124" i="3"/>
  <c r="AA124" i="3" s="1"/>
  <c r="D124" i="3" s="1"/>
  <c r="AG111" i="3"/>
  <c r="N124" i="3"/>
  <c r="AF124" i="3" s="1"/>
  <c r="N125" i="3"/>
  <c r="AF125" i="3" s="1"/>
  <c r="AG109" i="3"/>
  <c r="N120" i="3"/>
  <c r="AF121" i="3" s="1"/>
  <c r="AG106" i="3"/>
  <c r="N123" i="3"/>
  <c r="AF123" i="3" s="1"/>
  <c r="AG108" i="3"/>
  <c r="N122" i="3"/>
  <c r="AF122" i="3" s="1"/>
  <c r="AG105" i="3"/>
  <c r="AG103" i="3"/>
  <c r="M120" i="3"/>
  <c r="AA121" i="3" s="1"/>
  <c r="D121" i="3" s="1"/>
  <c r="M122" i="3"/>
  <c r="AA122" i="3" s="1"/>
  <c r="D122" i="3" s="1"/>
  <c r="AG102" i="3"/>
  <c r="C136" i="31"/>
  <c r="AG101" i="3"/>
  <c r="M121" i="3"/>
  <c r="AA120" i="3" s="1"/>
  <c r="D120" i="3" s="1"/>
  <c r="K4" i="45"/>
  <c r="C142" i="31"/>
  <c r="AA45" i="45"/>
  <c r="K28" i="45"/>
  <c r="W37" i="45"/>
  <c r="W13" i="45"/>
  <c r="K6" i="45"/>
  <c r="W39" i="45"/>
  <c r="K5" i="45"/>
  <c r="K12" i="45"/>
  <c r="C80" i="31"/>
  <c r="C81" i="31"/>
  <c r="C82" i="31"/>
  <c r="C83" i="31"/>
  <c r="K7" i="45"/>
  <c r="W6" i="45"/>
  <c r="W23" i="45"/>
  <c r="W22" i="45"/>
  <c r="C107" i="31"/>
  <c r="W20" i="45"/>
  <c r="W5" i="45"/>
  <c r="K39" i="45"/>
  <c r="W12" i="45"/>
  <c r="K46" i="45"/>
  <c r="W15" i="45"/>
  <c r="W4" i="45"/>
  <c r="W31" i="45"/>
  <c r="K30" i="45"/>
  <c r="W29" i="45"/>
  <c r="W45" i="45"/>
  <c r="W46" i="45"/>
  <c r="W28" i="45"/>
  <c r="W21" i="45"/>
  <c r="W38" i="45"/>
  <c r="W44" i="45"/>
  <c r="K20" i="45"/>
  <c r="AA10" i="45"/>
  <c r="C164" i="31"/>
  <c r="C146" i="31"/>
  <c r="B164" i="31"/>
  <c r="W47" i="45"/>
  <c r="W30" i="45"/>
  <c r="K13" i="45"/>
  <c r="K36" i="45"/>
  <c r="K44" i="45"/>
  <c r="AA16" i="45"/>
  <c r="C157" i="31"/>
  <c r="AA43" i="45"/>
  <c r="C159" i="31"/>
  <c r="C177" i="31"/>
  <c r="B177" i="31"/>
  <c r="C143" i="31"/>
  <c r="AA42" i="45"/>
  <c r="C145" i="31"/>
  <c r="AA48" i="45"/>
  <c r="K31" i="45"/>
  <c r="C104" i="31"/>
  <c r="C105" i="31"/>
  <c r="C106" i="31"/>
  <c r="C99" i="31"/>
  <c r="C96" i="31"/>
  <c r="C98" i="31"/>
  <c r="C97" i="31"/>
  <c r="K22" i="45"/>
  <c r="B174" i="31"/>
  <c r="AA18" i="45"/>
  <c r="C174" i="31"/>
  <c r="C140" i="31"/>
  <c r="C91" i="31"/>
  <c r="C90" i="31"/>
  <c r="C89" i="31"/>
  <c r="C88" i="31"/>
  <c r="K23" i="45"/>
  <c r="AA24" i="45"/>
  <c r="C138" i="31"/>
  <c r="AA6" i="45"/>
  <c r="C135" i="31"/>
  <c r="B167" i="31"/>
  <c r="C167" i="31"/>
  <c r="C133" i="31"/>
  <c r="AA12" i="45"/>
  <c r="K21" i="45"/>
  <c r="C147" i="31"/>
  <c r="AA28" i="45"/>
  <c r="B178" i="31"/>
  <c r="C144" i="31"/>
  <c r="AA39" i="45"/>
  <c r="C178" i="31"/>
  <c r="C116" i="31"/>
  <c r="C118" i="31"/>
  <c r="C119" i="31"/>
  <c r="C117" i="31"/>
  <c r="AA36" i="45"/>
  <c r="C137" i="31"/>
  <c r="W7" i="45"/>
  <c r="C111" i="31"/>
  <c r="C108" i="31"/>
  <c r="C110" i="31"/>
  <c r="C109" i="31"/>
  <c r="C160" i="31"/>
  <c r="AA40" i="45"/>
  <c r="K15" i="45"/>
  <c r="C139" i="31"/>
  <c r="AA21" i="45"/>
  <c r="C121" i="31"/>
  <c r="C120" i="31"/>
  <c r="C122" i="31"/>
  <c r="C123" i="31"/>
  <c r="C141" i="31"/>
  <c r="B175" i="31"/>
  <c r="C175" i="31"/>
  <c r="AA15" i="45"/>
  <c r="C150" i="31"/>
  <c r="AA31" i="45"/>
  <c r="C101" i="31"/>
  <c r="C103" i="31"/>
  <c r="C100" i="31"/>
  <c r="C102" i="31"/>
  <c r="AA19" i="45"/>
  <c r="C156" i="31"/>
  <c r="B168" i="31"/>
  <c r="C134" i="31"/>
  <c r="AA30" i="45"/>
  <c r="C168" i="31"/>
  <c r="C125" i="31"/>
  <c r="C126" i="31"/>
  <c r="C124" i="31"/>
  <c r="C127" i="31"/>
  <c r="C95" i="31"/>
  <c r="C93" i="31"/>
  <c r="C92" i="31"/>
  <c r="C94" i="31"/>
  <c r="C86" i="31"/>
  <c r="C87" i="31"/>
  <c r="C84" i="31"/>
  <c r="C85" i="31"/>
  <c r="C132" i="31"/>
  <c r="AA3" i="45"/>
  <c r="C112" i="31"/>
  <c r="C115" i="31"/>
  <c r="C113" i="31"/>
  <c r="C114" i="31"/>
  <c r="AA27" i="45"/>
  <c r="B165" i="31"/>
  <c r="C131" i="31"/>
  <c r="C165" i="31"/>
  <c r="K37" i="45"/>
  <c r="AA13" i="45"/>
  <c r="C149" i="31"/>
  <c r="K47" i="45"/>
  <c r="K29" i="45"/>
  <c r="K45" i="45"/>
  <c r="W36" i="45"/>
  <c r="K14" i="45"/>
  <c r="K38" i="45"/>
  <c r="BL64" i="3" l="1"/>
  <c r="BE58" i="3"/>
  <c r="BR58" i="3" s="1"/>
  <c r="BJ58" i="3"/>
  <c r="BL58" i="3" s="1"/>
  <c r="BE67" i="3"/>
  <c r="BR67" i="3" s="1"/>
  <c r="BK67" i="3"/>
  <c r="BL67" i="3" s="1"/>
  <c r="BK62" i="3"/>
  <c r="BL62" i="3" s="1"/>
  <c r="BE62" i="3"/>
  <c r="BR62" i="3" s="1"/>
  <c r="BL61" i="3"/>
  <c r="BL66" i="3"/>
  <c r="BL60" i="3"/>
  <c r="N121" i="3"/>
  <c r="AF120" i="3" s="1"/>
  <c r="C200" i="31" s="1"/>
  <c r="BL68" i="3"/>
  <c r="BL69" i="3"/>
  <c r="D126" i="3"/>
  <c r="M134" i="3" s="1"/>
  <c r="AA134" i="3" s="1"/>
  <c r="D134" i="3" s="1"/>
  <c r="AG127" i="3"/>
  <c r="N134" i="3"/>
  <c r="AF134" i="3" s="1"/>
  <c r="AG122" i="3"/>
  <c r="M133" i="3"/>
  <c r="AA133" i="3" s="1"/>
  <c r="D133" i="3" s="1"/>
  <c r="M132" i="3"/>
  <c r="AA132" i="3" s="1"/>
  <c r="D132" i="3" s="1"/>
  <c r="AG124" i="3"/>
  <c r="M131" i="3"/>
  <c r="AA131" i="3" s="1"/>
  <c r="D131" i="3" s="1"/>
  <c r="AG121" i="3"/>
  <c r="N131" i="3"/>
  <c r="AF131" i="3" s="1"/>
  <c r="AG120" i="3"/>
  <c r="C197" i="31"/>
  <c r="AE47" i="45"/>
  <c r="C206" i="31"/>
  <c r="AE41" i="45"/>
  <c r="C196" i="31"/>
  <c r="AE40" i="45"/>
  <c r="C188" i="31"/>
  <c r="B206" i="31"/>
  <c r="AE46" i="45"/>
  <c r="B207" i="31"/>
  <c r="C207" i="31"/>
  <c r="C189" i="31"/>
  <c r="C186" i="31"/>
  <c r="AE16" i="45"/>
  <c r="B204" i="31"/>
  <c r="C194" i="31"/>
  <c r="AE17" i="45"/>
  <c r="C204" i="31"/>
  <c r="C184" i="31"/>
  <c r="C202" i="31"/>
  <c r="B202" i="31"/>
  <c r="AE28" i="45"/>
  <c r="AE4" i="45"/>
  <c r="C201" i="31"/>
  <c r="C183" i="31"/>
  <c r="B201" i="31"/>
  <c r="C191" i="31"/>
  <c r="AE5" i="45"/>
  <c r="AE29" i="45"/>
  <c r="C192" i="31"/>
  <c r="C195" i="31"/>
  <c r="AE23" i="45"/>
  <c r="AE35" i="45"/>
  <c r="C193" i="31"/>
  <c r="C182" i="31"/>
  <c r="AE10" i="45"/>
  <c r="BS63" i="3" l="1"/>
  <c r="BS68" i="3"/>
  <c r="BS66" i="3"/>
  <c r="BS65" i="3"/>
  <c r="BS58" i="3"/>
  <c r="BS69" i="3"/>
  <c r="BS60" i="3"/>
  <c r="BS64" i="3"/>
  <c r="BS67" i="3"/>
  <c r="BS62" i="3"/>
  <c r="BS61" i="3"/>
  <c r="BS59" i="3"/>
  <c r="C190" i="31"/>
  <c r="AE11" i="45"/>
  <c r="B200" i="31"/>
  <c r="AG126" i="3"/>
  <c r="AG134" i="3"/>
  <c r="N139" i="3"/>
  <c r="AF139" i="3" s="1"/>
  <c r="AG133" i="3"/>
  <c r="M139" i="3"/>
  <c r="AA139" i="3" s="1"/>
  <c r="N138" i="3"/>
  <c r="AF138" i="3" s="1"/>
  <c r="AG132" i="3"/>
  <c r="M138" i="3"/>
  <c r="AA138" i="3" s="1"/>
  <c r="AG131" i="3"/>
  <c r="AI44" i="45"/>
  <c r="C217" i="31"/>
  <c r="C211" i="31"/>
  <c r="AI19" i="45"/>
  <c r="C212" i="31"/>
  <c r="AI31" i="45"/>
  <c r="AI43" i="45"/>
  <c r="C213" i="31"/>
  <c r="B223" i="31"/>
  <c r="C223" i="31"/>
  <c r="AI7" i="45"/>
  <c r="C210" i="31"/>
  <c r="C220" i="31"/>
  <c r="C214" i="31"/>
  <c r="B220" i="31"/>
  <c r="AI8" i="45"/>
  <c r="BT68" i="3" l="1"/>
  <c r="BU68" i="3" s="1"/>
  <c r="BT62" i="3"/>
  <c r="BU62" i="3" s="1"/>
  <c r="BT67" i="3"/>
  <c r="BU67" i="3" s="1"/>
  <c r="BT60" i="3"/>
  <c r="BU60" i="3" s="1"/>
  <c r="BT66" i="3"/>
  <c r="BU66" i="3" s="1"/>
  <c r="BT69" i="3"/>
  <c r="BU69" i="3" s="1"/>
  <c r="BT61" i="3"/>
  <c r="BU61" i="3" s="1"/>
  <c r="BT64" i="3"/>
  <c r="BU64" i="3" s="1"/>
  <c r="BT59" i="3"/>
  <c r="BU59" i="3" s="1"/>
  <c r="BT63" i="3"/>
  <c r="BU63" i="3" s="1"/>
  <c r="BT65" i="3"/>
  <c r="BU65" i="3" s="1"/>
  <c r="BT58" i="3"/>
  <c r="BU58" i="3" s="1"/>
  <c r="AF147" i="3"/>
  <c r="D139" i="3"/>
  <c r="AF143" i="3"/>
  <c r="H139" i="3"/>
  <c r="H138" i="3"/>
  <c r="AA143" i="3"/>
  <c r="D138" i="3"/>
  <c r="AA147" i="3"/>
  <c r="AM38" i="45" a="1"/>
  <c r="AM38" i="45" s="1"/>
  <c r="C229" i="31"/>
  <c r="C227" i="31"/>
  <c r="AM37" i="45"/>
  <c r="C233" i="31"/>
  <c r="B233" i="31"/>
  <c r="C228" i="31"/>
  <c r="AM14" i="45"/>
  <c r="AM13" i="45"/>
  <c r="B232" i="31"/>
  <c r="C226" i="31"/>
  <c r="C232" i="31"/>
  <c r="BV61" i="3" l="1"/>
  <c r="BV60" i="3"/>
  <c r="BV66" i="3"/>
  <c r="BV69" i="3"/>
  <c r="BV65" i="3"/>
  <c r="BV68" i="3"/>
  <c r="BV62" i="3"/>
  <c r="BV59" i="3"/>
  <c r="BV64" i="3"/>
  <c r="BV58" i="3"/>
  <c r="BV67" i="3"/>
  <c r="BV63" i="3"/>
  <c r="D147" i="3"/>
  <c r="AG147" i="3" s="1"/>
  <c r="AA150" i="3"/>
  <c r="H147" i="3"/>
  <c r="AA151" i="3"/>
  <c r="AA152" i="3"/>
  <c r="D143" i="3"/>
  <c r="AG143" i="3" s="1"/>
  <c r="C237" i="31"/>
  <c r="AQ32" i="45"/>
  <c r="AG139" i="3"/>
  <c r="N143" i="3"/>
  <c r="N147" i="3"/>
  <c r="AU26" i="45"/>
  <c r="C241" i="31"/>
  <c r="C240" i="31"/>
  <c r="C247" i="31"/>
  <c r="B247" i="31"/>
  <c r="AU25" i="45"/>
  <c r="AG138" i="3"/>
  <c r="M147" i="3"/>
  <c r="M143" i="3"/>
  <c r="AQ31" i="45"/>
  <c r="C236" i="31"/>
  <c r="B244" i="31"/>
  <c r="C244" i="31"/>
  <c r="BW60" i="3" l="1"/>
  <c r="BX60" i="3" s="1"/>
  <c r="BW67" i="3"/>
  <c r="BX67" i="3" s="1"/>
  <c r="BW62" i="3"/>
  <c r="BX62" i="3" s="1"/>
  <c r="BW58" i="3"/>
  <c r="BX58" i="3" s="1"/>
  <c r="BW65" i="3"/>
  <c r="BX65" i="3" s="1"/>
  <c r="BW59" i="3"/>
  <c r="BX59" i="3" s="1"/>
  <c r="BW64" i="3"/>
  <c r="BX64" i="3" s="1"/>
  <c r="BW61" i="3"/>
  <c r="BX61" i="3" s="1"/>
  <c r="BW68" i="3"/>
  <c r="BX68" i="3" s="1"/>
  <c r="BW69" i="3"/>
  <c r="BX69" i="3" s="1"/>
  <c r="BW63" i="3"/>
  <c r="BX63" i="3" s="1"/>
  <c r="BW66" i="3"/>
  <c r="BX66" i="3" s="1"/>
  <c r="C251" i="31"/>
  <c r="BB23" i="45"/>
  <c r="AG151" i="3"/>
  <c r="C250" i="31"/>
  <c r="BA21" i="45"/>
  <c r="AG150" i="3"/>
  <c r="AG152" i="3"/>
  <c r="C252" i="31"/>
  <c r="AZ25" i="45"/>
  <c r="BY59" i="3" l="1"/>
  <c r="BO20" i="45"/>
  <c r="BO27" i="45"/>
  <c r="BO43" i="45"/>
  <c r="BO13" i="45"/>
  <c r="BO14" i="45"/>
  <c r="BO8" i="45"/>
  <c r="BO35" i="45"/>
  <c r="BO11" i="45"/>
  <c r="BO40" i="45"/>
  <c r="BO44" i="45"/>
  <c r="BO12" i="45"/>
  <c r="BO21" i="45"/>
  <c r="BO42" i="45"/>
  <c r="BO24" i="45"/>
  <c r="BO29" i="45"/>
  <c r="BO37" i="45"/>
  <c r="BO5" i="45"/>
  <c r="BO19" i="45"/>
  <c r="BO34" i="45"/>
  <c r="BO15" i="45"/>
  <c r="BO47" i="45"/>
  <c r="BO4" i="45"/>
  <c r="BO31" i="45"/>
  <c r="BO25" i="45"/>
  <c r="BO16" i="45"/>
  <c r="BO33" i="45"/>
  <c r="BO23" i="45"/>
  <c r="BO41" i="45"/>
  <c r="BO49" i="45"/>
  <c r="BO36" i="45"/>
  <c r="BO22" i="45"/>
  <c r="BO30" i="45"/>
  <c r="BO9" i="45"/>
  <c r="BO46" i="45"/>
  <c r="BO7" i="45"/>
  <c r="BO50" i="45"/>
  <c r="BO26" i="45"/>
  <c r="BO17" i="45"/>
  <c r="BO6" i="45"/>
  <c r="BO28" i="45"/>
  <c r="BO45" i="45"/>
  <c r="BO32" i="45"/>
  <c r="BO10" i="45"/>
  <c r="BO38" i="45"/>
  <c r="BO18" i="45"/>
  <c r="BO51" i="45"/>
  <c r="BO48" i="45"/>
  <c r="BO39" i="45"/>
  <c r="BN40" i="45"/>
  <c r="BN27" i="45"/>
  <c r="BN20" i="45"/>
  <c r="BN43" i="45"/>
  <c r="BN13" i="45"/>
  <c r="BN14" i="45"/>
  <c r="BN8" i="45"/>
  <c r="BN35" i="45"/>
  <c r="BN11" i="45"/>
  <c r="BN48" i="45"/>
  <c r="BN9" i="45"/>
  <c r="BN34" i="45"/>
  <c r="BN16" i="45"/>
  <c r="BN39" i="45"/>
  <c r="BN41" i="45"/>
  <c r="BN42" i="45"/>
  <c r="BN21" i="45"/>
  <c r="BN23" i="45"/>
  <c r="BN46" i="45"/>
  <c r="BN15" i="45"/>
  <c r="BN29" i="45"/>
  <c r="BN38" i="45"/>
  <c r="BN32" i="45"/>
  <c r="BN49" i="45"/>
  <c r="BN19" i="45"/>
  <c r="BN36" i="45"/>
  <c r="BN30" i="45"/>
  <c r="BN33" i="45"/>
  <c r="BN50" i="45"/>
  <c r="BN31" i="45"/>
  <c r="BN47" i="45"/>
  <c r="BN37" i="45"/>
  <c r="BN44" i="45"/>
  <c r="BN18" i="45"/>
  <c r="BN10" i="45"/>
  <c r="BN4" i="45"/>
  <c r="BN24" i="45"/>
  <c r="BN45" i="45"/>
  <c r="BN5" i="45"/>
  <c r="BN17" i="45"/>
  <c r="BN7" i="45"/>
  <c r="BN6" i="45"/>
  <c r="BN12" i="45"/>
  <c r="BN25" i="45"/>
  <c r="BN51" i="45"/>
  <c r="BN22" i="45"/>
  <c r="BN26" i="45"/>
  <c r="BN28" i="45"/>
  <c r="BM14" i="45"/>
  <c r="BM43" i="45"/>
  <c r="BM8" i="45"/>
  <c r="BM35" i="45"/>
  <c r="BM40" i="45"/>
  <c r="BM13" i="45"/>
  <c r="BM20" i="45"/>
  <c r="BM11" i="45"/>
  <c r="BM27" i="45"/>
  <c r="BM45" i="45"/>
  <c r="BM42" i="45"/>
  <c r="BM29" i="45"/>
  <c r="BM10" i="45"/>
  <c r="BM21" i="45"/>
  <c r="BM19" i="45"/>
  <c r="BM18" i="45"/>
  <c r="BM37" i="45"/>
  <c r="BM4" i="45"/>
  <c r="BM44" i="45"/>
  <c r="BM12" i="45"/>
  <c r="BM17" i="45"/>
  <c r="BM46" i="45"/>
  <c r="BM31" i="45"/>
  <c r="BM16" i="45"/>
  <c r="BM5" i="45"/>
  <c r="BM23" i="45"/>
  <c r="BM26" i="45"/>
  <c r="BM49" i="45"/>
  <c r="BM51" i="45"/>
  <c r="BM47" i="45"/>
  <c r="BM22" i="45"/>
  <c r="BM7" i="45"/>
  <c r="BM15" i="45"/>
  <c r="BM48" i="45"/>
  <c r="BM41" i="45"/>
  <c r="BM50" i="45"/>
  <c r="BM28" i="45"/>
  <c r="BM33" i="45"/>
  <c r="BM34" i="45"/>
  <c r="BM36" i="45"/>
  <c r="BM25" i="45"/>
  <c r="BM6" i="45"/>
  <c r="BM38" i="45"/>
  <c r="BM32" i="45"/>
  <c r="BM39" i="45"/>
  <c r="BM9" i="45"/>
  <c r="BM30" i="45"/>
  <c r="BM24" i="45"/>
  <c r="BY63" i="3"/>
  <c r="BY60" i="3"/>
  <c r="BY61" i="3"/>
  <c r="BY68" i="3"/>
  <c r="BY66" i="3"/>
  <c r="BY69" i="3"/>
  <c r="BY64" i="3"/>
  <c r="BY62" i="3"/>
  <c r="BY67" i="3"/>
  <c r="BY58" i="3"/>
  <c r="BY65" i="3"/>
  <c r="BL33" i="45" l="1"/>
  <c r="BL13" i="45"/>
  <c r="BL40" i="45"/>
  <c r="BL24" i="45"/>
  <c r="BL36" i="45"/>
  <c r="BL16" i="45"/>
  <c r="BL18" i="45"/>
  <c r="BL22" i="45"/>
  <c r="BL31" i="45"/>
  <c r="BL44" i="45"/>
  <c r="BL19" i="45"/>
  <c r="BL11" i="45"/>
  <c r="BL21" i="45"/>
  <c r="BL7" i="45"/>
  <c r="BL34" i="45"/>
  <c r="BL20" i="45"/>
  <c r="BL9" i="45"/>
  <c r="BL46" i="45"/>
  <c r="BL10" i="45"/>
  <c r="BL23" i="45"/>
  <c r="BL43" i="45"/>
  <c r="BL27" i="45"/>
  <c r="BL12" i="45"/>
  <c r="BL50" i="45"/>
  <c r="BL15" i="45"/>
  <c r="BL51" i="45"/>
  <c r="BL32" i="45"/>
  <c r="BL29" i="45"/>
  <c r="BL47" i="45"/>
  <c r="BL38" i="45"/>
  <c r="BL41" i="45"/>
  <c r="BL26" i="45"/>
  <c r="BL8" i="45"/>
  <c r="BL6" i="45"/>
  <c r="BL48" i="45"/>
  <c r="BL4" i="45"/>
  <c r="BL5" i="45"/>
  <c r="BL14" i="45"/>
  <c r="BL30" i="45"/>
  <c r="BL25" i="45"/>
  <c r="BL37" i="45"/>
  <c r="BL39" i="45"/>
  <c r="BL28" i="45"/>
  <c r="BL17" i="45"/>
  <c r="BL49" i="45"/>
  <c r="BL35" i="45"/>
  <c r="BL42" i="45"/>
  <c r="BL45" i="45"/>
  <c r="BZ65" i="3"/>
  <c r="CA65" i="3" s="1"/>
  <c r="BZ60" i="3"/>
  <c r="BZ64" i="3"/>
  <c r="BZ58" i="3"/>
  <c r="BZ59" i="3"/>
  <c r="CA59" i="3" s="1"/>
  <c r="BZ61" i="3"/>
  <c r="BZ68" i="3"/>
  <c r="BZ69" i="3"/>
  <c r="BZ67" i="3"/>
  <c r="BZ62" i="3"/>
  <c r="BZ63" i="3"/>
  <c r="BZ66" i="3"/>
  <c r="CA69" i="3" l="1"/>
  <c r="CA68" i="3"/>
  <c r="CA61" i="3"/>
  <c r="CA66" i="3"/>
  <c r="CA58" i="3"/>
  <c r="CA64" i="3"/>
  <c r="CA67" i="3"/>
  <c r="CA63" i="3"/>
  <c r="CA62" i="3"/>
  <c r="CA60" i="3"/>
  <c r="CB66" i="3" l="1"/>
  <c r="BM66" i="3" s="1"/>
  <c r="CB59" i="3"/>
  <c r="BM59" i="3" s="1"/>
  <c r="CB62" i="3"/>
  <c r="BM62" i="3" s="1"/>
  <c r="CB60" i="3"/>
  <c r="BM60" i="3" s="1"/>
  <c r="CB63" i="3"/>
  <c r="BM63" i="3" s="1"/>
  <c r="CB65" i="3"/>
  <c r="BM65" i="3" s="1"/>
  <c r="CB68" i="3"/>
  <c r="BM68" i="3" s="1"/>
  <c r="CB69" i="3"/>
  <c r="BM69" i="3" s="1"/>
  <c r="CB67" i="3"/>
  <c r="BM67" i="3" s="1"/>
  <c r="CB64" i="3"/>
  <c r="BM64" i="3" s="1"/>
  <c r="CB61" i="3"/>
  <c r="BM61" i="3" s="1"/>
  <c r="CB58" i="3"/>
  <c r="BM58" i="3" s="1"/>
  <c r="DQ58" i="3" l="1"/>
  <c r="DJ58" i="3" s="1"/>
  <c r="AV102" i="3"/>
  <c r="DQ63" i="3"/>
  <c r="DJ63" i="3" s="1"/>
  <c r="AV108" i="3"/>
  <c r="DQ69" i="3"/>
  <c r="DJ69" i="3" s="1"/>
  <c r="DQ66" i="3"/>
  <c r="DJ66" i="3" s="1"/>
  <c r="AV111" i="3"/>
  <c r="AV105" i="3"/>
  <c r="DQ68" i="3"/>
  <c r="DJ68" i="3" s="1"/>
  <c r="AV103" i="3"/>
  <c r="AV113" i="3"/>
  <c r="DQ67" i="3"/>
  <c r="DJ67" i="3" s="1"/>
  <c r="DQ64" i="3"/>
  <c r="DJ64" i="3" s="1"/>
  <c r="AV106" i="3"/>
  <c r="DQ62" i="3"/>
  <c r="DJ62" i="3" s="1"/>
  <c r="DQ60" i="3"/>
  <c r="DJ60" i="3" s="1"/>
  <c r="AV104" i="3"/>
  <c r="AV109" i="3"/>
  <c r="DQ61" i="3"/>
  <c r="DJ61" i="3" s="1"/>
  <c r="AV107" i="3"/>
  <c r="AV110" i="3"/>
  <c r="DQ65" i="3"/>
  <c r="DJ65" i="3" s="1"/>
  <c r="AV112" i="3"/>
  <c r="DQ59" i="3"/>
  <c r="DJ59" i="3" s="1"/>
  <c r="DL59" i="3" l="1"/>
  <c r="AU103" i="3" s="1"/>
  <c r="DL60" i="3"/>
  <c r="AU104" i="3" s="1"/>
  <c r="DL62" i="3"/>
  <c r="AU106" i="3" s="1"/>
  <c r="DL65" i="3"/>
  <c r="AU109" i="3" s="1"/>
  <c r="DL66" i="3"/>
  <c r="AU110" i="3" s="1"/>
  <c r="DL64" i="3"/>
  <c r="AU108" i="3" s="1"/>
  <c r="DL69" i="3"/>
  <c r="AU113" i="3" s="1"/>
  <c r="DL67" i="3"/>
  <c r="AU111" i="3" s="1"/>
  <c r="DL61" i="3"/>
  <c r="AU105" i="3" s="1"/>
  <c r="DL63" i="3"/>
  <c r="AU107" i="3" s="1"/>
  <c r="CD60" i="3"/>
  <c r="CD58" i="3"/>
  <c r="CD62" i="3"/>
  <c r="CD64" i="3"/>
  <c r="CD63" i="3"/>
  <c r="CD66" i="3"/>
  <c r="CD59" i="3"/>
  <c r="CD68" i="3"/>
  <c r="CD69" i="3"/>
  <c r="CD67" i="3"/>
  <c r="CD65" i="3"/>
  <c r="CD61" i="3"/>
  <c r="DL68" i="3"/>
  <c r="AU112" i="3" s="1"/>
  <c r="DL58" i="3"/>
  <c r="AU102" i="3" s="1"/>
  <c r="CE67" i="3" l="1"/>
  <c r="CE68" i="3"/>
  <c r="CE69" i="3"/>
  <c r="DN65" i="3" a="1"/>
  <c r="DN65" i="3" s="1"/>
  <c r="CE60" i="3"/>
  <c r="CE59" i="3"/>
  <c r="DN58" i="3" a="1"/>
  <c r="DN58" i="3" s="1"/>
  <c r="DM65" i="3"/>
  <c r="DN67" i="3" a="1"/>
  <c r="DN67" i="3" s="1"/>
  <c r="DM59" i="3"/>
  <c r="DM58" i="3"/>
  <c r="CE64" i="3"/>
  <c r="DN69" i="3" a="1"/>
  <c r="DN69" i="3" s="1"/>
  <c r="CE58" i="3"/>
  <c r="DM69" i="3"/>
  <c r="DM62" i="3"/>
  <c r="DN68" i="3" a="1"/>
  <c r="DN68" i="3" s="1"/>
  <c r="DM61" i="3"/>
  <c r="CE66" i="3"/>
  <c r="DM66" i="3"/>
  <c r="DM67" i="3"/>
  <c r="AU101" i="3"/>
  <c r="AV100" i="3" s="1"/>
  <c r="DM63" i="3"/>
  <c r="DN66" i="3" a="1"/>
  <c r="DN66" i="3" s="1"/>
  <c r="DN60" i="3" a="1"/>
  <c r="DN60" i="3" s="1"/>
  <c r="DM68" i="3"/>
  <c r="DN63" i="3" a="1"/>
  <c r="DN63" i="3" s="1"/>
  <c r="DM60" i="3"/>
  <c r="CE63" i="3"/>
  <c r="CE61" i="3"/>
  <c r="DN61" i="3" a="1"/>
  <c r="DN61" i="3" s="1"/>
  <c r="DM64" i="3"/>
  <c r="DN59" i="3" a="1"/>
  <c r="DN59" i="3" s="1"/>
  <c r="CE65" i="3"/>
  <c r="CE62" i="3"/>
  <c r="DN64" i="3" a="1"/>
  <c r="DN64" i="3" s="1"/>
  <c r="DN62" i="3" a="1"/>
  <c r="DN62" i="3" s="1"/>
  <c r="CF62" i="3" l="1"/>
  <c r="BN62" i="3" s="1"/>
  <c r="CF61" i="3"/>
  <c r="BN61" i="3" s="1"/>
  <c r="CF65" i="3"/>
  <c r="BN65" i="3" s="1"/>
  <c r="CF63" i="3"/>
  <c r="BN63" i="3" s="1"/>
  <c r="CF66" i="3"/>
  <c r="BN66" i="3" s="1"/>
  <c r="CF58" i="3"/>
  <c r="BN58" i="3" s="1"/>
  <c r="CF68" i="3"/>
  <c r="BN68" i="3" s="1"/>
  <c r="CF67" i="3"/>
  <c r="BN67" i="3" s="1"/>
  <c r="CF69" i="3"/>
  <c r="BN69" i="3" s="1"/>
  <c r="CF60" i="3"/>
  <c r="BN60" i="3" s="1"/>
  <c r="CF59" i="3"/>
  <c r="BN59" i="3" s="1"/>
  <c r="CF64" i="3"/>
  <c r="BN64" i="3" s="1"/>
  <c r="AL112" i="3" l="1"/>
  <c r="AS112" i="3" s="1"/>
  <c r="AL105" i="3"/>
  <c r="AO105" i="3" s="1"/>
  <c r="AL113" i="3"/>
  <c r="AO113" i="3" s="1"/>
  <c r="AL111" i="3"/>
  <c r="AQ111" i="3" s="1"/>
  <c r="AL110" i="3"/>
  <c r="AQ110" i="3" s="1"/>
  <c r="AL104" i="3"/>
  <c r="AM104" i="3" s="1"/>
  <c r="AL107" i="3"/>
  <c r="BF108" i="3" s="1"/>
  <c r="AL103" i="3"/>
  <c r="AT103" i="3" s="1"/>
  <c r="AL109" i="3"/>
  <c r="AR109" i="3" s="1"/>
  <c r="AL102" i="3"/>
  <c r="AT102" i="3" s="1"/>
  <c r="AL106" i="3"/>
  <c r="AP106" i="3" s="1"/>
  <c r="AL108" i="3"/>
  <c r="AS108" i="3" s="1"/>
  <c r="AK109" i="3" l="1" a="1"/>
  <c r="AK109" i="3" s="1"/>
  <c r="AK112" i="3" a="1"/>
  <c r="AK112" i="3" s="1"/>
  <c r="AO112" i="3"/>
  <c r="AM109" i="3"/>
  <c r="AS109" i="3"/>
  <c r="AN112" i="3"/>
  <c r="AN109" i="3"/>
  <c r="AM112" i="3"/>
  <c r="BF110" i="3"/>
  <c r="AO109" i="3"/>
  <c r="AR112" i="3"/>
  <c r="AQ109" i="3"/>
  <c r="AP109" i="3"/>
  <c r="AP112" i="3"/>
  <c r="AT112" i="3"/>
  <c r="AT109" i="3"/>
  <c r="AQ112" i="3"/>
  <c r="AS105" i="3"/>
  <c r="AN113" i="3"/>
  <c r="AK113" i="3" a="1"/>
  <c r="AK113" i="3" s="1"/>
  <c r="AR113" i="3"/>
  <c r="AT113" i="3"/>
  <c r="AP113" i="3"/>
  <c r="AK102" i="3" a="1"/>
  <c r="AK102" i="3" s="1"/>
  <c r="AQ113" i="3"/>
  <c r="AQ106" i="3"/>
  <c r="AM106" i="3"/>
  <c r="AK111" i="3" a="1"/>
  <c r="AK111" i="3" s="1"/>
  <c r="AS110" i="3"/>
  <c r="AK110" i="3" a="1"/>
  <c r="AK110" i="3" s="1"/>
  <c r="AO111" i="3"/>
  <c r="AM110" i="3"/>
  <c r="AT111" i="3"/>
  <c r="AN111" i="3"/>
  <c r="AT105" i="3"/>
  <c r="AP110" i="3"/>
  <c r="AP111" i="3"/>
  <c r="AM113" i="3"/>
  <c r="AQ105" i="3"/>
  <c r="AM102" i="3"/>
  <c r="AS102" i="3"/>
  <c r="AP105" i="3"/>
  <c r="AP102" i="3"/>
  <c r="AT106" i="3"/>
  <c r="AM108" i="3"/>
  <c r="AP108" i="3"/>
  <c r="AS106" i="3"/>
  <c r="BF106" i="3"/>
  <c r="AN106" i="3"/>
  <c r="AT110" i="3"/>
  <c r="AM111" i="3"/>
  <c r="AM105" i="3"/>
  <c r="AQ104" i="3"/>
  <c r="AK108" i="3" a="1"/>
  <c r="AK108" i="3" s="1"/>
  <c r="AN104" i="3"/>
  <c r="AK104" i="3" a="1"/>
  <c r="AK104" i="3" s="1"/>
  <c r="BF109" i="3"/>
  <c r="AO102" i="3"/>
  <c r="AO104" i="3"/>
  <c r="AN105" i="3"/>
  <c r="AO106" i="3"/>
  <c r="AR102" i="3"/>
  <c r="AP107" i="3"/>
  <c r="AN110" i="3"/>
  <c r="AR108" i="3"/>
  <c r="AR110" i="3"/>
  <c r="AO108" i="3"/>
  <c r="BF107" i="3"/>
  <c r="AO110" i="3"/>
  <c r="AS111" i="3"/>
  <c r="AS113" i="3"/>
  <c r="AN108" i="3"/>
  <c r="AR105" i="3"/>
  <c r="AR106" i="3"/>
  <c r="BF103" i="3"/>
  <c r="AT104" i="3"/>
  <c r="AR103" i="3"/>
  <c r="AT107" i="3"/>
  <c r="BF105" i="3"/>
  <c r="AQ107" i="3"/>
  <c r="AM107" i="3"/>
  <c r="AP104" i="3"/>
  <c r="AR104" i="3"/>
  <c r="AQ108" i="3"/>
  <c r="AK105" i="3" a="1"/>
  <c r="AK105" i="3" s="1"/>
  <c r="AK106" i="3" a="1"/>
  <c r="AK106" i="3" s="1"/>
  <c r="AS104" i="3"/>
  <c r="AN102" i="3"/>
  <c r="AN107" i="3"/>
  <c r="AO103" i="3"/>
  <c r="BF104" i="3"/>
  <c r="AK107" i="3" a="1"/>
  <c r="AK107" i="3" s="1"/>
  <c r="AK103" i="3" a="1"/>
  <c r="AK103" i="3" s="1"/>
  <c r="AO107" i="3"/>
  <c r="AR107" i="3"/>
  <c r="AS107" i="3"/>
  <c r="AR111" i="3"/>
  <c r="AT108" i="3"/>
  <c r="AQ102" i="3"/>
  <c r="AN103" i="3"/>
  <c r="AS103" i="3"/>
  <c r="AM103" i="3"/>
  <c r="AP103" i="3"/>
  <c r="AQ103" i="3"/>
  <c r="BG109" i="3" l="1"/>
  <c r="BG103" i="3"/>
  <c r="BG105" i="3"/>
  <c r="BG108" i="3"/>
  <c r="BG110" i="3"/>
  <c r="BG107" i="3"/>
  <c r="BG104" i="3"/>
  <c r="BG106" i="3"/>
  <c r="BJ103" i="3" l="1"/>
  <c r="BJ110" i="3"/>
  <c r="BJ109" i="3"/>
  <c r="BJ105" i="3"/>
  <c r="BJ108" i="3"/>
  <c r="BJ106" i="3"/>
  <c r="BJ104" i="3"/>
  <c r="BJ107" i="3"/>
  <c r="BI112" i="3" l="1"/>
  <c r="B43" i="40" s="1"/>
  <c r="B100" i="40" l="1"/>
  <c r="B143" i="40"/>
  <c r="B420" i="40"/>
  <c r="B457" i="40"/>
  <c r="B380" i="40"/>
  <c r="B29" i="40"/>
  <c r="B36" i="40"/>
  <c r="B110" i="40"/>
  <c r="B180" i="40"/>
  <c r="B434" i="40"/>
  <c r="B421" i="40"/>
  <c r="B345" i="40"/>
  <c r="B285" i="40"/>
  <c r="B252" i="40"/>
  <c r="B120" i="40"/>
  <c r="B32" i="40"/>
  <c r="B263" i="40"/>
  <c r="B486" i="40"/>
  <c r="B46" i="40"/>
  <c r="B135" i="40"/>
  <c r="B493" i="40"/>
  <c r="B374" i="40"/>
  <c r="B318" i="40"/>
  <c r="B347" i="40"/>
  <c r="B262" i="40"/>
  <c r="B483" i="40"/>
  <c r="B33" i="40"/>
  <c r="B14" i="40"/>
  <c r="B404" i="40"/>
  <c r="B450" i="40"/>
  <c r="B423" i="40"/>
  <c r="B220" i="40"/>
  <c r="B113" i="40"/>
  <c r="B247" i="40"/>
  <c r="B114" i="40"/>
  <c r="B398" i="40"/>
  <c r="B12" i="40"/>
  <c r="B91" i="40"/>
  <c r="B316" i="40"/>
  <c r="B59" i="40"/>
  <c r="B191" i="40"/>
  <c r="B425" i="40"/>
  <c r="B222" i="40"/>
  <c r="B162" i="40"/>
  <c r="B123" i="40"/>
  <c r="B465" i="40"/>
  <c r="B129" i="40"/>
  <c r="B213" i="40"/>
  <c r="B447" i="40"/>
  <c r="B118" i="40"/>
  <c r="B184" i="40"/>
  <c r="B490" i="40"/>
  <c r="B174" i="40"/>
  <c r="B243" i="40"/>
  <c r="B306" i="40"/>
  <c r="B409" i="40"/>
  <c r="B207" i="40"/>
  <c r="B254" i="40"/>
  <c r="B441" i="40"/>
  <c r="B88" i="40"/>
  <c r="B140" i="40"/>
  <c r="B168" i="40"/>
  <c r="B288" i="40"/>
  <c r="B66" i="40"/>
  <c r="B432" i="40"/>
  <c r="B65" i="40"/>
  <c r="B326" i="40"/>
  <c r="B369" i="40"/>
  <c r="B6" i="40"/>
  <c r="B311" i="40"/>
  <c r="B494" i="40"/>
  <c r="B325" i="40"/>
  <c r="B491" i="40"/>
  <c r="AZ101" i="3"/>
  <c r="B109" i="40"/>
  <c r="B166" i="40"/>
  <c r="B112" i="40"/>
  <c r="B71" i="40"/>
  <c r="B414" i="40"/>
  <c r="B39" i="40"/>
  <c r="B76" i="40"/>
  <c r="B240" i="40"/>
  <c r="B56" i="40"/>
  <c r="B315" i="40"/>
  <c r="B73" i="40"/>
  <c r="B54" i="40"/>
  <c r="B228" i="40"/>
  <c r="B416" i="40"/>
  <c r="B111" i="40"/>
  <c r="B103" i="40"/>
  <c r="B479" i="40"/>
  <c r="B382" i="40"/>
  <c r="B214" i="40"/>
  <c r="B101" i="40"/>
  <c r="B281" i="40"/>
  <c r="B481" i="40"/>
  <c r="B444" i="40"/>
  <c r="B40" i="40"/>
  <c r="B5" i="40"/>
  <c r="B153" i="40"/>
  <c r="B211" i="40"/>
  <c r="B23" i="40"/>
  <c r="B418" i="40"/>
  <c r="B299" i="40"/>
  <c r="B257" i="40"/>
  <c r="B487" i="40"/>
  <c r="B495" i="40"/>
  <c r="B188" i="40"/>
  <c r="B64" i="40"/>
  <c r="B381" i="40"/>
  <c r="B438" i="40"/>
  <c r="B7" i="40"/>
  <c r="B181" i="40"/>
  <c r="B386" i="40"/>
  <c r="B383" i="40"/>
  <c r="B323" i="40"/>
  <c r="B276" i="40"/>
  <c r="B426" i="40"/>
  <c r="B75" i="40"/>
  <c r="B244" i="40"/>
  <c r="B165" i="40"/>
  <c r="B274" i="40"/>
  <c r="B340" i="40"/>
  <c r="B226" i="40"/>
  <c r="B375" i="40"/>
  <c r="B367" i="40"/>
  <c r="B403" i="40"/>
  <c r="B453" i="40"/>
  <c r="B314" i="40"/>
  <c r="B80" i="40"/>
  <c r="B105" i="40"/>
  <c r="B471" i="40"/>
  <c r="B278" i="40"/>
  <c r="B370" i="40"/>
  <c r="B353" i="40"/>
  <c r="B187" i="40"/>
  <c r="B327" i="40"/>
  <c r="B290" i="40"/>
  <c r="B322" i="40"/>
  <c r="B293" i="40"/>
  <c r="B469" i="40"/>
  <c r="B355" i="40"/>
  <c r="B405" i="40"/>
  <c r="B269" i="40"/>
  <c r="B390" i="40"/>
  <c r="B401" i="40"/>
  <c r="B3" i="40"/>
  <c r="B440" i="40"/>
  <c r="B303" i="40"/>
  <c r="B275" i="40"/>
  <c r="B189" i="40"/>
  <c r="B349" i="40"/>
  <c r="B396" i="40"/>
  <c r="B407" i="40"/>
  <c r="B406" i="40"/>
  <c r="B167" i="40"/>
  <c r="B470" i="40"/>
  <c r="B454" i="40"/>
  <c r="B2" i="40"/>
  <c r="B286" i="40"/>
  <c r="B209" i="40"/>
  <c r="B461" i="40"/>
  <c r="B198" i="40"/>
  <c r="B384" i="40"/>
  <c r="B272" i="40"/>
  <c r="B241" i="40"/>
  <c r="B482" i="40"/>
  <c r="B313" i="40"/>
  <c r="B442" i="40"/>
  <c r="B51" i="40"/>
  <c r="B452" i="40"/>
  <c r="B335" i="40"/>
  <c r="B117" i="40"/>
  <c r="B295" i="40"/>
  <c r="B159" i="40"/>
  <c r="B4" i="40"/>
  <c r="B429" i="40"/>
  <c r="B199" i="40"/>
  <c r="B106" i="40"/>
  <c r="B277" i="40"/>
  <c r="B455" i="40"/>
  <c r="B146" i="40"/>
  <c r="B368" i="40"/>
  <c r="B411" i="40"/>
  <c r="B53" i="40"/>
  <c r="B248" i="40"/>
  <c r="B57" i="40"/>
  <c r="B346" i="40"/>
  <c r="B373" i="40"/>
  <c r="B283" i="40"/>
  <c r="B427" i="40"/>
  <c r="B9" i="40"/>
  <c r="B268" i="40"/>
  <c r="B359" i="40"/>
  <c r="B478" i="40"/>
  <c r="B10" i="40"/>
  <c r="B317" i="40"/>
  <c r="B68" i="40"/>
  <c r="B422" i="40"/>
  <c r="B378" i="40"/>
  <c r="B98" i="40"/>
  <c r="B433" i="40"/>
  <c r="B215" i="40"/>
  <c r="B15" i="40"/>
  <c r="B489" i="40"/>
  <c r="B186" i="40"/>
  <c r="B399" i="40"/>
  <c r="B229" i="40"/>
  <c r="B376" i="40"/>
  <c r="B360" i="40"/>
  <c r="B25" i="40"/>
  <c r="B294" i="40"/>
  <c r="B19" i="40"/>
  <c r="B49" i="40"/>
  <c r="B292" i="40"/>
  <c r="B219" i="40"/>
  <c r="B134" i="40"/>
  <c r="B125" i="40"/>
  <c r="B20" i="40"/>
  <c r="B291" i="40"/>
  <c r="B44" i="40"/>
  <c r="B237" i="40"/>
  <c r="B74" i="40"/>
  <c r="B271" i="40"/>
  <c r="B305" i="40"/>
  <c r="B227" i="40"/>
  <c r="B488" i="40"/>
  <c r="B16" i="40"/>
  <c r="B147" i="40"/>
  <c r="B45" i="40"/>
  <c r="B377" i="40"/>
  <c r="B13" i="40"/>
  <c r="B319" i="40"/>
  <c r="B431" i="40"/>
  <c r="B116" i="40"/>
  <c r="B232" i="40"/>
  <c r="B393" i="40"/>
  <c r="B300" i="40"/>
  <c r="B48" i="40"/>
  <c r="B437" i="40"/>
  <c r="B475" i="40"/>
  <c r="B333" i="40"/>
  <c r="B282" i="40"/>
  <c r="B492" i="40"/>
  <c r="B22" i="40"/>
  <c r="B289" i="40"/>
  <c r="B192" i="40"/>
  <c r="B364" i="40"/>
  <c r="B85" i="40"/>
  <c r="B348" i="40"/>
  <c r="B26" i="40"/>
  <c r="B183" i="40"/>
  <c r="B152" i="40"/>
  <c r="B496" i="40"/>
  <c r="B216" i="40"/>
  <c r="B394" i="40"/>
  <c r="B78" i="40"/>
  <c r="B387" i="40"/>
  <c r="B171" i="40"/>
  <c r="B467" i="40"/>
  <c r="B458" i="40"/>
  <c r="B141" i="40"/>
  <c r="B451" i="40"/>
  <c r="B104" i="40"/>
  <c r="B309" i="40"/>
  <c r="B331" i="40"/>
  <c r="B265" i="40"/>
  <c r="B163" i="40"/>
  <c r="B436" i="40"/>
  <c r="B169" i="40"/>
  <c r="B343" i="40"/>
  <c r="B284" i="40"/>
  <c r="B138" i="40"/>
  <c r="B173" i="40"/>
  <c r="B352" i="40"/>
  <c r="B235" i="40"/>
  <c r="B41" i="40"/>
  <c r="B417" i="40"/>
  <c r="B223" i="40"/>
  <c r="B371" i="40"/>
  <c r="B128" i="40"/>
  <c r="B155" i="40"/>
  <c r="B351" i="40"/>
  <c r="B62" i="40"/>
  <c r="B408" i="40"/>
  <c r="B63" i="40"/>
  <c r="B336" i="40"/>
  <c r="B28" i="40"/>
  <c r="B197" i="40"/>
  <c r="B363" i="40"/>
  <c r="B157" i="40"/>
  <c r="B95" i="40"/>
  <c r="B239" i="40"/>
  <c r="B17" i="40"/>
  <c r="B225" i="40"/>
  <c r="B193" i="40"/>
  <c r="B38" i="40"/>
  <c r="B210" i="40"/>
  <c r="B130" i="40"/>
  <c r="B245" i="40"/>
  <c r="B412" i="40"/>
  <c r="B11" i="40"/>
  <c r="B372" i="40"/>
  <c r="B261" i="40"/>
  <c r="B50" i="40"/>
  <c r="B456" i="40"/>
  <c r="B338" i="40"/>
  <c r="B102" i="40"/>
  <c r="B82" i="40"/>
  <c r="B133" i="40"/>
  <c r="B119" i="40"/>
  <c r="B86" i="40"/>
  <c r="B388" i="40"/>
  <c r="B31" i="40"/>
  <c r="B217" i="40"/>
  <c r="B435" i="40"/>
  <c r="B145" i="40"/>
  <c r="B358" i="40"/>
  <c r="B182" i="40"/>
  <c r="B142" i="40"/>
  <c r="B52" i="40"/>
  <c r="B238" i="40"/>
  <c r="B224" i="40"/>
  <c r="B58" i="40"/>
  <c r="B24" i="40"/>
  <c r="B132" i="40"/>
  <c r="B439" i="40"/>
  <c r="B270" i="40"/>
  <c r="B463" i="40"/>
  <c r="B61" i="40"/>
  <c r="B126" i="40"/>
  <c r="B94" i="40"/>
  <c r="B459" i="40"/>
  <c r="B391" i="40"/>
  <c r="B310" i="40"/>
  <c r="B115" i="40"/>
  <c r="B242" i="40"/>
  <c r="B154" i="40"/>
  <c r="B480" i="40"/>
  <c r="B361" i="40"/>
  <c r="B410" i="40"/>
  <c r="B473" i="40"/>
  <c r="B176" i="40"/>
  <c r="B477" i="40"/>
  <c r="B139" i="40"/>
  <c r="B18" i="40"/>
  <c r="B249" i="40"/>
  <c r="B89" i="40"/>
  <c r="B312" i="40"/>
  <c r="B339" i="40"/>
  <c r="B321" i="40"/>
  <c r="B81" i="40"/>
  <c r="B212" i="40"/>
  <c r="B96" i="40"/>
  <c r="B449" i="40"/>
  <c r="B395" i="40"/>
  <c r="B77" i="40"/>
  <c r="B253" i="40"/>
  <c r="B259" i="40"/>
  <c r="B301" i="40"/>
  <c r="B196" i="40"/>
  <c r="B255" i="40"/>
  <c r="B250" i="40"/>
  <c r="B190" i="40"/>
  <c r="B93" i="40"/>
  <c r="B161" i="40"/>
  <c r="B177" i="40"/>
  <c r="B107" i="40"/>
  <c r="B194" i="40"/>
  <c r="B47" i="40"/>
  <c r="B402" i="40"/>
  <c r="B69" i="40"/>
  <c r="B156" i="40"/>
  <c r="B178" i="40"/>
  <c r="B99" i="40"/>
  <c r="B108" i="40"/>
  <c r="B448" i="40"/>
  <c r="B468" i="40"/>
  <c r="B30" i="40"/>
  <c r="B344" i="40"/>
  <c r="B304" i="40"/>
  <c r="B127" i="40"/>
  <c r="B97" i="40"/>
  <c r="B397" i="40"/>
  <c r="B337" i="40"/>
  <c r="B413" i="40"/>
  <c r="B273" i="40"/>
  <c r="B462" i="40"/>
  <c r="B365" i="40"/>
  <c r="B150" i="40"/>
  <c r="B400" i="40"/>
  <c r="B415" i="40"/>
  <c r="B392" i="40"/>
  <c r="B350" i="40"/>
  <c r="B484" i="40"/>
  <c r="B466" i="40"/>
  <c r="B485" i="40"/>
  <c r="B385" i="40"/>
  <c r="B21" i="40"/>
  <c r="B124" i="40"/>
  <c r="B87" i="40"/>
  <c r="B279" i="40"/>
  <c r="B34" i="40"/>
  <c r="B260" i="40"/>
  <c r="B205" i="40"/>
  <c r="B175" i="40"/>
  <c r="B362" i="40"/>
  <c r="B37" i="40"/>
  <c r="B121" i="40"/>
  <c r="B200" i="40"/>
  <c r="B379" i="40"/>
  <c r="B179" i="40"/>
  <c r="B84" i="40"/>
  <c r="B266" i="40"/>
  <c r="B302" i="40"/>
  <c r="B164" i="40"/>
  <c r="B419" i="40"/>
  <c r="B70" i="40"/>
  <c r="B307" i="40"/>
  <c r="B430" i="40"/>
  <c r="B185" i="40"/>
  <c r="B79" i="40"/>
  <c r="B320" i="40"/>
  <c r="B264" i="40"/>
  <c r="B83" i="40"/>
  <c r="B201" i="40"/>
  <c r="B443" i="40"/>
  <c r="B221" i="40"/>
  <c r="B122" i="40"/>
  <c r="B218" i="40"/>
  <c r="B354" i="40"/>
  <c r="B35" i="40"/>
  <c r="B356" i="40"/>
  <c r="B236" i="40"/>
  <c r="B296" i="40"/>
  <c r="B298" i="40"/>
  <c r="B251" i="40"/>
  <c r="B389" i="40"/>
  <c r="B280" i="40"/>
  <c r="B332" i="40"/>
  <c r="B149" i="40"/>
  <c r="B357" i="40"/>
  <c r="B256" i="40"/>
  <c r="B90" i="40"/>
  <c r="B92" i="40"/>
  <c r="B424" i="40"/>
  <c r="B137" i="40"/>
  <c r="B428" i="40"/>
  <c r="B131" i="40"/>
  <c r="B27" i="40"/>
  <c r="B160" i="40"/>
  <c r="B234" i="40"/>
  <c r="B324" i="40"/>
  <c r="B67" i="40"/>
  <c r="B330" i="40"/>
  <c r="B297" i="40"/>
  <c r="B208" i="40"/>
  <c r="B341" i="40"/>
  <c r="B366" i="40"/>
  <c r="B206" i="40"/>
  <c r="B72" i="40"/>
  <c r="B446" i="40"/>
  <c r="B148" i="40"/>
  <c r="B328" i="40"/>
  <c r="B258" i="40"/>
  <c r="B60" i="40"/>
  <c r="B474" i="40"/>
  <c r="B287" i="40"/>
  <c r="B230" i="40"/>
  <c r="B308" i="40"/>
  <c r="B203" i="40"/>
  <c r="B195" i="40"/>
  <c r="B460" i="40"/>
  <c r="B476" i="40"/>
  <c r="B342" i="40"/>
  <c r="B464" i="40"/>
  <c r="B151" i="40"/>
  <c r="B158" i="40"/>
  <c r="B136" i="40"/>
  <c r="B42" i="40"/>
  <c r="B246" i="40"/>
  <c r="B472" i="40"/>
  <c r="B144" i="40"/>
  <c r="B204" i="40"/>
  <c r="B334" i="40"/>
  <c r="B170" i="40"/>
  <c r="B172" i="40"/>
  <c r="B329" i="40"/>
  <c r="B233" i="40"/>
  <c r="B445" i="40"/>
  <c r="B55" i="40"/>
  <c r="B267" i="40"/>
  <c r="B8" i="40"/>
  <c r="B202" i="40"/>
  <c r="B231" i="40"/>
  <c r="N113" i="3" l="1"/>
  <c r="AF113" i="3" s="1"/>
  <c r="C158" i="31" s="1"/>
  <c r="N102" i="3"/>
  <c r="AF103" i="3" s="1"/>
  <c r="C148" i="31" s="1"/>
  <c r="N108" i="3"/>
  <c r="AF108" i="3" s="1"/>
  <c r="B171" i="31" s="1"/>
  <c r="N105" i="3"/>
  <c r="AF106" i="3" s="1"/>
  <c r="C169" i="31" s="1"/>
  <c r="N115" i="3"/>
  <c r="AF116" i="3" s="1"/>
  <c r="AA49" i="45" s="1"/>
  <c r="N110" i="3"/>
  <c r="AF109" i="3" s="1"/>
  <c r="C172" i="31" s="1"/>
  <c r="N107" i="3"/>
  <c r="AF107" i="3" s="1"/>
  <c r="N109" i="3"/>
  <c r="AF110" i="3" s="1"/>
  <c r="B497" i="40"/>
  <c r="BG124" i="3" s="1"/>
  <c r="AZ110" i="3" s="1"/>
  <c r="C155" i="31" l="1"/>
  <c r="D110" i="3"/>
  <c r="AA34" i="45"/>
  <c r="D107" i="3"/>
  <c r="AA46" i="45"/>
  <c r="B176" i="31"/>
  <c r="C176" i="31"/>
  <c r="AA4" i="45"/>
  <c r="B166" i="31"/>
  <c r="C166" i="31"/>
  <c r="C153" i="31"/>
  <c r="BG121" i="3"/>
  <c r="AZ107" i="3" s="1"/>
  <c r="BG118" i="3"/>
  <c r="AZ104" i="3" s="1"/>
  <c r="BG117" i="3"/>
  <c r="AZ103" i="3" s="1"/>
  <c r="BG122" i="3"/>
  <c r="AZ108" i="3" s="1"/>
  <c r="BG123" i="3"/>
  <c r="AZ109" i="3" s="1"/>
  <c r="BG120" i="3"/>
  <c r="AZ106" i="3" s="1"/>
  <c r="BG119" i="3"/>
  <c r="AZ105" i="3" s="1"/>
  <c r="C179" i="31"/>
  <c r="AA37" i="45"/>
  <c r="AA7" i="45"/>
  <c r="C151" i="31"/>
  <c r="B169" i="31"/>
  <c r="C171" i="31"/>
  <c r="C161" i="31"/>
  <c r="B179" i="31"/>
  <c r="C154" i="31"/>
  <c r="C152" i="31"/>
  <c r="AA25" i="45"/>
  <c r="C170" i="31"/>
  <c r="B170" i="31"/>
  <c r="B172" i="31"/>
  <c r="B173" i="31"/>
  <c r="AA22" i="45"/>
  <c r="C173" i="31"/>
  <c r="AG110" i="3" l="1"/>
  <c r="M125" i="3"/>
  <c r="AA125" i="3" s="1"/>
  <c r="AG107" i="3"/>
  <c r="M123" i="3"/>
  <c r="AA123" i="3" s="1"/>
  <c r="D125" i="3" l="1"/>
  <c r="C187" i="31"/>
  <c r="B205" i="31"/>
  <c r="C205" i="31"/>
  <c r="AE22" i="45"/>
  <c r="D123" i="3"/>
  <c r="C185" i="31"/>
  <c r="AE34" i="45"/>
  <c r="C203" i="31"/>
  <c r="B203" i="31"/>
  <c r="N132" i="3" l="1"/>
  <c r="AF132" i="3" s="1"/>
  <c r="AG125" i="3"/>
  <c r="N133" i="3"/>
  <c r="AF133" i="3" s="1"/>
  <c r="AG123" i="3"/>
  <c r="C221" i="31" l="1"/>
  <c r="C215" i="31"/>
  <c r="B221" i="31"/>
  <c r="AI20" i="45"/>
  <c r="AJ151" i="3"/>
  <c r="AJ155" i="3"/>
  <c r="B222" i="31"/>
  <c r="C222" i="31"/>
  <c r="AI32" i="45"/>
  <c r="C216" i="31"/>
  <c r="BK11" i="45" l="1"/>
  <c r="BJ11" i="45" s="1"/>
  <c r="BI11" i="45" s="1"/>
  <c r="BH11" i="45" s="1"/>
  <c r="BK43" i="45"/>
  <c r="BJ43" i="45" s="1"/>
  <c r="BI43" i="45" s="1"/>
  <c r="BH43" i="45" s="1"/>
  <c r="BK36" i="45"/>
  <c r="BJ36" i="45" s="1"/>
  <c r="BI36" i="45" s="1"/>
  <c r="BH36" i="45" s="1"/>
  <c r="BK37" i="45"/>
  <c r="BJ37" i="45" s="1"/>
  <c r="BI37" i="45" s="1"/>
  <c r="BH37" i="45" s="1"/>
  <c r="BK24" i="45"/>
  <c r="BJ24" i="45" s="1"/>
  <c r="BI24" i="45" s="1"/>
  <c r="BH24" i="45" s="1"/>
  <c r="BK45" i="45"/>
  <c r="BJ45" i="45" s="1"/>
  <c r="BI45" i="45" s="1"/>
  <c r="BH45" i="45" s="1"/>
  <c r="BK42" i="45"/>
  <c r="BJ42" i="45" s="1"/>
  <c r="BI42" i="45" s="1"/>
  <c r="BH42" i="45" s="1"/>
  <c r="BK14" i="45"/>
  <c r="BJ14" i="45" s="1"/>
  <c r="BI14" i="45" s="1"/>
  <c r="BH14" i="45" s="1"/>
  <c r="BK18" i="45"/>
  <c r="BJ18" i="45" s="1"/>
  <c r="BI18" i="45" s="1"/>
  <c r="BH18" i="45" s="1"/>
  <c r="BK44" i="45"/>
  <c r="BJ44" i="45" s="1"/>
  <c r="BI44" i="45" s="1"/>
  <c r="BH44" i="45" s="1"/>
  <c r="BK25" i="45"/>
  <c r="BJ25" i="45" s="1"/>
  <c r="BI25" i="45" s="1"/>
  <c r="BH25" i="45" s="1"/>
  <c r="BK31" i="45"/>
  <c r="BJ31" i="45" s="1"/>
  <c r="BI31" i="45" s="1"/>
  <c r="BH31" i="45" s="1"/>
  <c r="BK19" i="45"/>
  <c r="BJ19" i="45" s="1"/>
  <c r="BI19" i="45" s="1"/>
  <c r="BH19" i="45" s="1"/>
  <c r="BK7" i="45"/>
  <c r="BJ7" i="45" s="1"/>
  <c r="BI7" i="45" s="1"/>
  <c r="BH7" i="45" s="1"/>
  <c r="BK34" i="45"/>
  <c r="BJ34" i="45" s="1"/>
  <c r="BI34" i="45" s="1"/>
  <c r="BH34" i="45" s="1"/>
  <c r="BK29" i="45"/>
  <c r="BJ29" i="45" s="1"/>
  <c r="BI29" i="45" s="1"/>
  <c r="BH29" i="45" s="1"/>
  <c r="BK32" i="45"/>
  <c r="BJ32" i="45" s="1"/>
  <c r="BI32" i="45" s="1"/>
  <c r="BH32" i="45" s="1"/>
  <c r="BK5" i="45"/>
  <c r="BJ5" i="45" s="1"/>
  <c r="BI5" i="45" s="1"/>
  <c r="BH5" i="45" s="1"/>
  <c r="BK8" i="45"/>
  <c r="BJ8" i="45" s="1"/>
  <c r="BI8" i="45" s="1"/>
  <c r="BH8" i="45" s="1"/>
  <c r="BK38" i="45"/>
  <c r="BJ38" i="45" s="1"/>
  <c r="BI38" i="45" s="1"/>
  <c r="BH38" i="45" s="1"/>
  <c r="BK47" i="45"/>
  <c r="BJ47" i="45" s="1"/>
  <c r="BI47" i="45" s="1"/>
  <c r="BH47" i="45" s="1"/>
  <c r="BK4" i="45"/>
  <c r="BJ4" i="45" s="1"/>
  <c r="BI4" i="45" s="1"/>
  <c r="BH4" i="45" s="1"/>
  <c r="BK40" i="45"/>
  <c r="BJ40" i="45" s="1"/>
  <c r="BI40" i="45" s="1"/>
  <c r="BH40" i="45" s="1"/>
  <c r="BK10" i="45"/>
  <c r="BJ10" i="45" s="1"/>
  <c r="BI10" i="45" s="1"/>
  <c r="BH10" i="45" s="1"/>
  <c r="BK46" i="45"/>
  <c r="BJ46" i="45" s="1"/>
  <c r="BI46" i="45" s="1"/>
  <c r="BH46" i="45" s="1"/>
  <c r="BK26" i="45"/>
  <c r="BJ26" i="45" s="1"/>
  <c r="BI26" i="45" s="1"/>
  <c r="BH26" i="45" s="1"/>
  <c r="BK48" i="45"/>
  <c r="BJ48" i="45" s="1"/>
  <c r="BI48" i="45" s="1"/>
  <c r="BH48" i="45" s="1"/>
  <c r="BK50" i="45"/>
  <c r="BJ50" i="45" s="1"/>
  <c r="BI50" i="45" s="1"/>
  <c r="BH50" i="45" s="1"/>
  <c r="BK13" i="45"/>
  <c r="BJ13" i="45" s="1"/>
  <c r="BI13" i="45" s="1"/>
  <c r="BH13" i="45" s="1"/>
  <c r="BK28" i="45"/>
  <c r="BJ28" i="45" s="1"/>
  <c r="BI28" i="45" s="1"/>
  <c r="BH28" i="45" s="1"/>
  <c r="BK39" i="45"/>
  <c r="BJ39" i="45" s="1"/>
  <c r="BI39" i="45" s="1"/>
  <c r="BH39" i="45" s="1"/>
  <c r="BK51" i="45"/>
  <c r="BJ51" i="45" s="1"/>
  <c r="BI51" i="45" s="1"/>
  <c r="BH51" i="45" s="1"/>
  <c r="BK23" i="45"/>
  <c r="BJ23" i="45" s="1"/>
  <c r="BI23" i="45" s="1"/>
  <c r="BH23" i="45" s="1"/>
  <c r="BK16" i="45"/>
  <c r="BJ16" i="45" s="1"/>
  <c r="BI16" i="45" s="1"/>
  <c r="BH16" i="45" s="1"/>
  <c r="BK30" i="45"/>
  <c r="BJ30" i="45" s="1"/>
  <c r="BI30" i="45" s="1"/>
  <c r="BH30" i="45" s="1"/>
  <c r="BK27" i="45"/>
  <c r="BJ27" i="45" s="1"/>
  <c r="BI27" i="45" s="1"/>
  <c r="BH27" i="45" s="1"/>
  <c r="BK6" i="45"/>
  <c r="BJ6" i="45" s="1"/>
  <c r="BI6" i="45" s="1"/>
  <c r="BH6" i="45" s="1"/>
  <c r="BK33" i="45"/>
  <c r="BJ33" i="45" s="1"/>
  <c r="BI33" i="45" s="1"/>
  <c r="BH33" i="45" s="1"/>
  <c r="BK49" i="45"/>
  <c r="BJ49" i="45" s="1"/>
  <c r="BI49" i="45" s="1"/>
  <c r="BH49" i="45" s="1"/>
  <c r="BK41" i="45"/>
  <c r="BJ41" i="45" s="1"/>
  <c r="BI41" i="45" s="1"/>
  <c r="BH41" i="45" s="1"/>
  <c r="BK21" i="45"/>
  <c r="BJ21" i="45" s="1"/>
  <c r="BI21" i="45" s="1"/>
  <c r="BH21" i="45" s="1"/>
  <c r="BK35" i="45"/>
  <c r="BJ35" i="45" s="1"/>
  <c r="BI35" i="45" s="1"/>
  <c r="BH35" i="45" s="1"/>
  <c r="BK17" i="45"/>
  <c r="BJ17" i="45" s="1"/>
  <c r="BI17" i="45" s="1"/>
  <c r="BH17" i="45" s="1"/>
  <c r="BK15" i="45"/>
  <c r="BJ15" i="45" s="1"/>
  <c r="BI15" i="45" s="1"/>
  <c r="BH15" i="45" s="1"/>
  <c r="BK22" i="45"/>
  <c r="BJ22" i="45" s="1"/>
  <c r="BI22" i="45" s="1"/>
  <c r="BH22" i="45" s="1"/>
  <c r="BK12" i="45"/>
  <c r="BJ12" i="45" s="1"/>
  <c r="BI12" i="45" s="1"/>
  <c r="BH12" i="45" s="1"/>
  <c r="BK9" i="45"/>
  <c r="BJ9" i="45" s="1"/>
  <c r="BI9" i="45" s="1"/>
  <c r="BH9" i="45" s="1"/>
  <c r="BK20" i="45"/>
  <c r="BJ20" i="45" s="1"/>
  <c r="BI20" i="45" s="1"/>
  <c r="BH20" i="45"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52">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futureMetadata>
  <cellMetadata count="1">
    <bk>
      <rc t="1" v="0"/>
    </bk>
  </cellMetadata>
  <valueMetadata count="52">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bk>
      <rc t="2" v="41"/>
    </bk>
    <bk>
      <rc t="2" v="42"/>
    </bk>
    <bk>
      <rc t="2" v="43"/>
    </bk>
    <bk>
      <rc t="2" v="44"/>
    </bk>
    <bk>
      <rc t="2" v="45"/>
    </bk>
    <bk>
      <rc t="2" v="46"/>
    </bk>
    <bk>
      <rc t="2" v="47"/>
    </bk>
    <bk>
      <rc t="2" v="48"/>
    </bk>
    <bk>
      <rc t="2" v="49"/>
    </bk>
    <bk>
      <rc t="2" v="50"/>
    </bk>
    <bk>
      <rc t="2" v="51"/>
    </bk>
  </valueMetadata>
</metadata>
</file>

<file path=xl/sharedStrings.xml><?xml version="1.0" encoding="utf-8"?>
<sst xmlns="http://schemas.openxmlformats.org/spreadsheetml/2006/main" count="6757" uniqueCount="1516">
  <si>
    <t>A</t>
  </si>
  <si>
    <t>B</t>
  </si>
  <si>
    <t>C</t>
  </si>
  <si>
    <t>E</t>
  </si>
  <si>
    <t>F</t>
  </si>
  <si>
    <t>J</t>
  </si>
  <si>
    <t>G</t>
  </si>
  <si>
    <t>P</t>
  </si>
  <si>
    <t>GF</t>
  </si>
  <si>
    <t>GC</t>
  </si>
  <si>
    <t>Fecha</t>
  </si>
  <si>
    <t>Rank</t>
  </si>
  <si>
    <t>FASE DE GRUPOS</t>
  </si>
  <si>
    <t>X</t>
  </si>
  <si>
    <t>Pos</t>
  </si>
  <si>
    <t>matejero</t>
  </si>
  <si>
    <t>Casa</t>
  </si>
  <si>
    <t>Fuera</t>
  </si>
  <si>
    <t>Gol</t>
  </si>
  <si>
    <t>Campeón</t>
  </si>
  <si>
    <t>Subcampeón</t>
  </si>
  <si>
    <t>CUADRO DE HONOR</t>
  </si>
  <si>
    <t>Escribe un jugador</t>
  </si>
  <si>
    <t>Inicio</t>
  </si>
  <si>
    <t>¡EMPATE! Puedes seleccionar el orden de los empatados.</t>
  </si>
  <si>
    <t>Limitación de responsabilidad:</t>
  </si>
  <si>
    <t>Autor:</t>
  </si>
  <si>
    <t>Miguel Angel Tejero</t>
  </si>
  <si>
    <t>J1</t>
  </si>
  <si>
    <t>J2</t>
  </si>
  <si>
    <t>J3</t>
  </si>
  <si>
    <t>Hora</t>
  </si>
  <si>
    <t>NombreEquipo</t>
  </si>
  <si>
    <t>Jor.</t>
  </si>
  <si>
    <t>Pts</t>
  </si>
  <si>
    <t>GRUPOS</t>
  </si>
  <si>
    <t>1/4</t>
  </si>
  <si>
    <t>1/2</t>
  </si>
  <si>
    <t>Semifinales</t>
  </si>
  <si>
    <t>Final</t>
  </si>
  <si>
    <t>España</t>
  </si>
  <si>
    <t>GA</t>
  </si>
  <si>
    <t>GB</t>
  </si>
  <si>
    <t>SF</t>
  </si>
  <si>
    <t>Nombre</t>
  </si>
  <si>
    <t>¡No tocar nada, se rellena solo!</t>
  </si>
  <si>
    <t>POSICIÓN GRUPOS</t>
  </si>
  <si>
    <t>1º GRUPO A</t>
  </si>
  <si>
    <t>2º GRUPO A</t>
  </si>
  <si>
    <t>3º GRUPO A</t>
  </si>
  <si>
    <t>4º GRUPO A</t>
  </si>
  <si>
    <t>1º GRUPO B</t>
  </si>
  <si>
    <t>2º GRUPO B</t>
  </si>
  <si>
    <t>3º GRUPO B</t>
  </si>
  <si>
    <t>4º GRUPO B</t>
  </si>
  <si>
    <t>1º GRUPO C</t>
  </si>
  <si>
    <t>2º GRUPO C</t>
  </si>
  <si>
    <t>3º GRUPO C</t>
  </si>
  <si>
    <t>4º GRUPO C</t>
  </si>
  <si>
    <t>CLASIFICADOS PARA CUARTOS</t>
  </si>
  <si>
    <t>Cuartofinalista</t>
  </si>
  <si>
    <t>ENFRENTAMIENTOS CUARTOS</t>
  </si>
  <si>
    <t>CLASIFICADOS PARA SEMIFINALES</t>
  </si>
  <si>
    <t>Semifinalista</t>
  </si>
  <si>
    <t>ENFRENTAMIENTOS SEMIFINALES</t>
  </si>
  <si>
    <t>CLASIFICADOS PARA LA FINAL</t>
  </si>
  <si>
    <t>Finalista</t>
  </si>
  <si>
    <t>ENFRENTAMIENTO FINAL</t>
  </si>
  <si>
    <t>DG</t>
  </si>
  <si>
    <t>Mejores terceros</t>
  </si>
  <si>
    <t>Selección</t>
  </si>
  <si>
    <t>Cuartos de final</t>
  </si>
  <si>
    <t>PARTICIPANTE</t>
  </si>
  <si>
    <t>Grupo</t>
  </si>
  <si>
    <t>D</t>
  </si>
  <si>
    <t>Francia</t>
  </si>
  <si>
    <t>Suiza</t>
  </si>
  <si>
    <t>Inglaterra</t>
  </si>
  <si>
    <t>Alemania</t>
  </si>
  <si>
    <t>Croacia</t>
  </si>
  <si>
    <t>Portugal</t>
  </si>
  <si>
    <t>Austria</t>
  </si>
  <si>
    <t>GD</t>
  </si>
  <si>
    <t>GE</t>
  </si>
  <si>
    <t>Orden</t>
  </si>
  <si>
    <t>V/F</t>
  </si>
  <si>
    <t>Por orden alfabetico</t>
  </si>
  <si>
    <t>Corresponde a los grupos…</t>
  </si>
  <si>
    <t>Octavos de final</t>
  </si>
  <si>
    <t>1/8</t>
  </si>
  <si>
    <t>3A</t>
  </si>
  <si>
    <t>3B</t>
  </si>
  <si>
    <t>3C</t>
  </si>
  <si>
    <t>3D</t>
  </si>
  <si>
    <t>3E</t>
  </si>
  <si>
    <t>3F</t>
  </si>
  <si>
    <t>CUARTOS</t>
  </si>
  <si>
    <t>1º GRUPO D</t>
  </si>
  <si>
    <t>2º GRUPO D</t>
  </si>
  <si>
    <t>3º GRUPO D</t>
  </si>
  <si>
    <t>4º GRUPO D</t>
  </si>
  <si>
    <t>1º GRUPO E</t>
  </si>
  <si>
    <t>2º GRUPO E</t>
  </si>
  <si>
    <t>3º GRUPO E</t>
  </si>
  <si>
    <t>4º GRUPO E</t>
  </si>
  <si>
    <t>1º GRUPO F</t>
  </si>
  <si>
    <t>2º GRUPO F</t>
  </si>
  <si>
    <t>3º GRUPO F</t>
  </si>
  <si>
    <t>4º GRUPO F</t>
  </si>
  <si>
    <t>CLASIFICADOS PARA OCTAVOS</t>
  </si>
  <si>
    <t>ENFRENTAMIENTOS OCTAVOS</t>
  </si>
  <si>
    <t>Bélgica</t>
  </si>
  <si>
    <t>¡EMPATE! Puedes seleccionar el orden de los empatados entre los terceros.</t>
  </si>
  <si>
    <t>Países Bajos</t>
  </si>
  <si>
    <t>A1</t>
  </si>
  <si>
    <t>B1</t>
  </si>
  <si>
    <t>C1</t>
  </si>
  <si>
    <t>D1</t>
  </si>
  <si>
    <t>E1</t>
  </si>
  <si>
    <t>F1</t>
  </si>
  <si>
    <t>A2</t>
  </si>
  <si>
    <t>B2</t>
  </si>
  <si>
    <t>C2</t>
  </si>
  <si>
    <t>D2</t>
  </si>
  <si>
    <t>E2</t>
  </si>
  <si>
    <t>F2</t>
  </si>
  <si>
    <t>A3</t>
  </si>
  <si>
    <t>B3</t>
  </si>
  <si>
    <t>C3</t>
  </si>
  <si>
    <t>D3</t>
  </si>
  <si>
    <t>E3</t>
  </si>
  <si>
    <t>F3</t>
  </si>
  <si>
    <t>Para el administrador de la porra</t>
  </si>
  <si>
    <t>EL ADMINISTRADOR DE LA PORRA SEGUIRÁ LAS INSTRUCCIONES DE AQUÍ ABAJO</t>
  </si>
  <si>
    <t>·Si haceis jornada a jornada seguir las instrucciones de cada jornada</t>
  </si>
  <si>
    <t>·Si haceis eliminatoria a eliminatoria seguir las instrucciones de cada eliminatoria.</t>
  </si>
  <si>
    <t>Escocia</t>
  </si>
  <si>
    <t>Noruega</t>
  </si>
  <si>
    <t>🇨🇭</t>
  </si>
  <si>
    <t>🇵🇹</t>
  </si>
  <si>
    <t>🇳🇱</t>
  </si>
  <si>
    <t>🏴󠁧󠁢󠁥󠁮󠁧󠁿</t>
  </si>
  <si>
    <t>🇧🇪</t>
  </si>
  <si>
    <t>🇫🇷</t>
  </si>
  <si>
    <t>🇪🇸</t>
  </si>
  <si>
    <t>🇭🇷</t>
  </si>
  <si>
    <t>🇩🇪</t>
  </si>
  <si>
    <t>🇦🇹</t>
  </si>
  <si>
    <t>🏴󠁧󠁢󠁳󠁣󠁴󠁿</t>
  </si>
  <si>
    <t>🇳🇴</t>
  </si>
  <si>
    <t>https://www.zeitverschiebung.net/es/country/vn</t>
  </si>
  <si>
    <t>UTC</t>
  </si>
  <si>
    <t>UTC -12</t>
  </si>
  <si>
    <t>UTC -11</t>
  </si>
  <si>
    <t>UTC -10</t>
  </si>
  <si>
    <t>UTC -9</t>
  </si>
  <si>
    <t>UTC -8</t>
  </si>
  <si>
    <t>UTC -7</t>
  </si>
  <si>
    <t>UTC -6</t>
  </si>
  <si>
    <t>UTC -5</t>
  </si>
  <si>
    <t>UTC -4</t>
  </si>
  <si>
    <t>UTC -3</t>
  </si>
  <si>
    <t>UTC -2</t>
  </si>
  <si>
    <t>UTC -1</t>
  </si>
  <si>
    <t>UTC +1</t>
  </si>
  <si>
    <t>UTC +2</t>
  </si>
  <si>
    <t>UTC +3</t>
  </si>
  <si>
    <t>UTC +4</t>
  </si>
  <si>
    <t>UTC +5</t>
  </si>
  <si>
    <t>UTC +6</t>
  </si>
  <si>
    <t>UTC +7</t>
  </si>
  <si>
    <t>UTC +8</t>
  </si>
  <si>
    <t>UTC +9</t>
  </si>
  <si>
    <t>UTC +10</t>
  </si>
  <si>
    <t>UTC +11</t>
  </si>
  <si>
    <t>UTC +12</t>
  </si>
  <si>
    <t>HOJA</t>
  </si>
  <si>
    <t>Introducir resultados</t>
  </si>
  <si>
    <t>Celda</t>
  </si>
  <si>
    <t>G4</t>
  </si>
  <si>
    <t>L5</t>
  </si>
  <si>
    <t>I1</t>
  </si>
  <si>
    <t>G3</t>
  </si>
  <si>
    <t>H3</t>
  </si>
  <si>
    <t>I3</t>
  </si>
  <si>
    <t>Hour</t>
  </si>
  <si>
    <t>Inglés</t>
  </si>
  <si>
    <t>R</t>
  </si>
  <si>
    <t>Home</t>
  </si>
  <si>
    <t>Introduce Results</t>
  </si>
  <si>
    <t>K3</t>
  </si>
  <si>
    <t>Goal</t>
  </si>
  <si>
    <t>N3</t>
  </si>
  <si>
    <t>Away</t>
  </si>
  <si>
    <t>Q3</t>
  </si>
  <si>
    <t>Group</t>
  </si>
  <si>
    <t>AB3</t>
  </si>
  <si>
    <t>E53</t>
  </si>
  <si>
    <t>E63</t>
  </si>
  <si>
    <t>E74</t>
  </si>
  <si>
    <t>E80</t>
  </si>
  <si>
    <t>E84</t>
  </si>
  <si>
    <t>I88</t>
  </si>
  <si>
    <t>E89</t>
  </si>
  <si>
    <t>E90</t>
  </si>
  <si>
    <t>E93</t>
  </si>
  <si>
    <t>E94</t>
  </si>
  <si>
    <t>I93</t>
  </si>
  <si>
    <t>I94</t>
  </si>
  <si>
    <t>E97</t>
  </si>
  <si>
    <t>I97</t>
  </si>
  <si>
    <t>P52</t>
  </si>
  <si>
    <t>PORRA INCOMPLETA:</t>
  </si>
  <si>
    <t>PORRA COMPLETA:</t>
  </si>
  <si>
    <t>Aún falta alguna apuesta</t>
  </si>
  <si>
    <t>R86</t>
  </si>
  <si>
    <t>S86</t>
  </si>
  <si>
    <t>R87</t>
  </si>
  <si>
    <t>S87</t>
  </si>
  <si>
    <t>Equipos</t>
  </si>
  <si>
    <t>Creditos</t>
  </si>
  <si>
    <t>B14</t>
  </si>
  <si>
    <t>B15</t>
  </si>
  <si>
    <t>Español</t>
  </si>
  <si>
    <t>Date</t>
  </si>
  <si>
    <t>Round of 16</t>
  </si>
  <si>
    <t>Quarterfinals</t>
  </si>
  <si>
    <t>Semifinals</t>
  </si>
  <si>
    <t>HONOR BOX</t>
  </si>
  <si>
    <t>Winner</t>
  </si>
  <si>
    <t>Runner-up</t>
  </si>
  <si>
    <t>IT'S A DRAW! Choose the order of the Nations to determine their rankings.</t>
  </si>
  <si>
    <t>Best third-placed</t>
  </si>
  <si>
    <t>INCOMPLETE POOL:</t>
  </si>
  <si>
    <t>POOL COMPLETED</t>
  </si>
  <si>
    <t>Q5</t>
  </si>
  <si>
    <t>R5</t>
  </si>
  <si>
    <t>S5</t>
  </si>
  <si>
    <t>T5</t>
  </si>
  <si>
    <t>U5</t>
  </si>
  <si>
    <t>V5</t>
  </si>
  <si>
    <t>W5</t>
  </si>
  <si>
    <t>X5</t>
  </si>
  <si>
    <t>Y5</t>
  </si>
  <si>
    <t>Z5</t>
  </si>
  <si>
    <t>Nation</t>
  </si>
  <si>
    <t>W</t>
  </si>
  <si>
    <t>L</t>
  </si>
  <si>
    <t>Write a player</t>
  </si>
  <si>
    <t>You may have left over some match-ups without prediction or you may have not written your name</t>
  </si>
  <si>
    <t>Save the file and send it over by email.</t>
  </si>
  <si>
    <t>C4</t>
  </si>
  <si>
    <t>E4</t>
  </si>
  <si>
    <t>E5</t>
  </si>
  <si>
    <t>E6</t>
  </si>
  <si>
    <t>E18</t>
  </si>
  <si>
    <t>E30</t>
  </si>
  <si>
    <t>E86</t>
  </si>
  <si>
    <t>E87</t>
  </si>
  <si>
    <t>E88</t>
  </si>
  <si>
    <t>E108</t>
  </si>
  <si>
    <t>E120</t>
  </si>
  <si>
    <t>E128</t>
  </si>
  <si>
    <t>E133</t>
  </si>
  <si>
    <t>D6</t>
  </si>
  <si>
    <t>D18</t>
  </si>
  <si>
    <t>D30</t>
  </si>
  <si>
    <t>B5</t>
  </si>
  <si>
    <t>B43</t>
  </si>
  <si>
    <t>B69</t>
  </si>
  <si>
    <t>B87</t>
  </si>
  <si>
    <t>B97</t>
  </si>
  <si>
    <t>B113</t>
  </si>
  <si>
    <t>B107</t>
  </si>
  <si>
    <t>B119</t>
  </si>
  <si>
    <t>B123</t>
  </si>
  <si>
    <t>B127</t>
  </si>
  <si>
    <t>B130</t>
  </si>
  <si>
    <t>For the administrator of the pool</t>
  </si>
  <si>
    <t>PLAYER</t>
  </si>
  <si>
    <t>Name</t>
  </si>
  <si>
    <t>PLAYER: DO NOT TOUCH, IT'S AUTOMATIC!</t>
  </si>
  <si>
    <t xml:space="preserve">THE POOL ADMINISTRATOR SHOULD FOLLOW THE INSTRUCTIONS BELOW				</t>
  </si>
  <si>
    <t>·If you play by Rounds, follow de instuctions of every round.</t>
  </si>
  <si>
    <t>·If you play de KO phase, round by round, follow the instructions of every KO round.</t>
  </si>
  <si>
    <t>R1</t>
  </si>
  <si>
    <t>R2</t>
  </si>
  <si>
    <t>R3</t>
  </si>
  <si>
    <t>GROUP STAGE</t>
  </si>
  <si>
    <t>GROUP POSITION</t>
  </si>
  <si>
    <t>QUALIFIED FOR ROUND OF 16</t>
  </si>
  <si>
    <t>ROUND OF 16</t>
  </si>
  <si>
    <t>QUARTER-FINALISTS</t>
  </si>
  <si>
    <t>QUARTERFINALS</t>
  </si>
  <si>
    <t>QUALIFIED FOR SEMIFINALS</t>
  </si>
  <si>
    <t>SEMIFINALS</t>
  </si>
  <si>
    <t>QUALIFIED FOR THE FINAL</t>
  </si>
  <si>
    <t>FINAL</t>
  </si>
  <si>
    <t>Author:</t>
  </si>
  <si>
    <t>Last version:</t>
  </si>
  <si>
    <t>Útima versión</t>
  </si>
  <si>
    <t>Switzerland</t>
  </si>
  <si>
    <t>Netherlands</t>
  </si>
  <si>
    <t>England</t>
  </si>
  <si>
    <t>Belgium</t>
  </si>
  <si>
    <t>France</t>
  </si>
  <si>
    <t>Spain</t>
  </si>
  <si>
    <t>Croatia</t>
  </si>
  <si>
    <t>Germany</t>
  </si>
  <si>
    <t>Scotland</t>
  </si>
  <si>
    <t>Norway</t>
  </si>
  <si>
    <t>K2</t>
  </si>
  <si>
    <t>K4</t>
  </si>
  <si>
    <t>K5</t>
  </si>
  <si>
    <t>K6</t>
  </si>
  <si>
    <t>K7</t>
  </si>
  <si>
    <t>K8</t>
  </si>
  <si>
    <t>K9</t>
  </si>
  <si>
    <t>K10</t>
  </si>
  <si>
    <t>K11</t>
  </si>
  <si>
    <t>K12</t>
  </si>
  <si>
    <t>K13</t>
  </si>
  <si>
    <t>K14</t>
  </si>
  <si>
    <t>K15</t>
  </si>
  <si>
    <t>K16</t>
  </si>
  <si>
    <t>K17</t>
  </si>
  <si>
    <t>K19</t>
  </si>
  <si>
    <t>K20</t>
  </si>
  <si>
    <t>K21</t>
  </si>
  <si>
    <t>K22</t>
  </si>
  <si>
    <t>K23</t>
  </si>
  <si>
    <t>K26</t>
  </si>
  <si>
    <t>K27</t>
  </si>
  <si>
    <t>K28</t>
  </si>
  <si>
    <t>K29</t>
  </si>
  <si>
    <t>K30</t>
  </si>
  <si>
    <t>K33</t>
  </si>
  <si>
    <t>K34</t>
  </si>
  <si>
    <t>K35</t>
  </si>
  <si>
    <t>K36</t>
  </si>
  <si>
    <t>K38</t>
  </si>
  <si>
    <t>K39</t>
  </si>
  <si>
    <t>K40</t>
  </si>
  <si>
    <t>K41</t>
  </si>
  <si>
    <t>K42</t>
  </si>
  <si>
    <t>K44</t>
  </si>
  <si>
    <t>K45</t>
  </si>
  <si>
    <t>K46</t>
  </si>
  <si>
    <t>K47</t>
  </si>
  <si>
    <t>K48</t>
  </si>
  <si>
    <t>K49</t>
  </si>
  <si>
    <t>K50</t>
  </si>
  <si>
    <t>K51</t>
  </si>
  <si>
    <t>K52</t>
  </si>
  <si>
    <t>K53</t>
  </si>
  <si>
    <t>K54</t>
  </si>
  <si>
    <t>K55</t>
  </si>
  <si>
    <t>K56</t>
  </si>
  <si>
    <t>F12</t>
  </si>
  <si>
    <t>English</t>
  </si>
  <si>
    <t>B7</t>
  </si>
  <si>
    <t>L11</t>
  </si>
  <si>
    <t>Disclaimer:</t>
  </si>
  <si>
    <t>UTC (Verano)</t>
  </si>
  <si>
    <t>Organizador</t>
  </si>
  <si>
    <t>Diferencia con organizador</t>
  </si>
  <si>
    <t>UTC +3:30</t>
  </si>
  <si>
    <t>UTC +4:30</t>
  </si>
  <si>
    <t>UTC +5:30</t>
  </si>
  <si>
    <t>UTC +5:45</t>
  </si>
  <si>
    <t>UTC +6:30</t>
  </si>
  <si>
    <t>UTC +9:30</t>
  </si>
  <si>
    <t>UTC +10:30</t>
  </si>
  <si>
    <t>UTC +12:45</t>
  </si>
  <si>
    <t>UTC +13</t>
  </si>
  <si>
    <t>UTC +14</t>
  </si>
  <si>
    <t>UTC -3:30</t>
  </si>
  <si>
    <t>Organizador:</t>
  </si>
  <si>
    <t>País</t>
  </si>
  <si>
    <t>Num</t>
  </si>
  <si>
    <t>+/-</t>
  </si>
  <si>
    <t>Dif  en horas</t>
  </si>
  <si>
    <t>UTC en horas</t>
  </si>
  <si>
    <t>en horas</t>
  </si>
  <si>
    <t>Horarios</t>
  </si>
  <si>
    <t>W2</t>
  </si>
  <si>
    <t>Escribir el pais en idiomas</t>
  </si>
  <si>
    <t>1st GROUP A</t>
  </si>
  <si>
    <t>2nd GROUP A</t>
  </si>
  <si>
    <t>3rd GROUP A</t>
  </si>
  <si>
    <t>4th GROUP A</t>
  </si>
  <si>
    <t>1st GROUP B</t>
  </si>
  <si>
    <t>2nd GROUP B</t>
  </si>
  <si>
    <t>3rd GROUP B</t>
  </si>
  <si>
    <t>4th GROUP B</t>
  </si>
  <si>
    <t>1st GROUP C</t>
  </si>
  <si>
    <t>2nd GROUP C</t>
  </si>
  <si>
    <t>3rd GROUP C</t>
  </si>
  <si>
    <t>4th GROUP C</t>
  </si>
  <si>
    <t>1st GROUP D</t>
  </si>
  <si>
    <t>2nd GROUP D</t>
  </si>
  <si>
    <t>3rd GROUP D</t>
  </si>
  <si>
    <t>4th GROUP D</t>
  </si>
  <si>
    <t>1st GROUP E</t>
  </si>
  <si>
    <t>2nd GROUP E</t>
  </si>
  <si>
    <t>3rd GROUP E</t>
  </si>
  <si>
    <t>4th GROUP E</t>
  </si>
  <si>
    <t>1st GROUP F</t>
  </si>
  <si>
    <t>2nd GROUP F</t>
  </si>
  <si>
    <t>3rd GROUP F</t>
  </si>
  <si>
    <t>4th GROUP F</t>
  </si>
  <si>
    <t>8-Finalist</t>
  </si>
  <si>
    <t>Quarterfinalist</t>
  </si>
  <si>
    <t>Semifinalist</t>
  </si>
  <si>
    <t>Finalist</t>
  </si>
  <si>
    <t>B44</t>
  </si>
  <si>
    <t>B45</t>
  </si>
  <si>
    <t>B46</t>
  </si>
  <si>
    <t>B47</t>
  </si>
  <si>
    <t>B48</t>
  </si>
  <si>
    <t>B49</t>
  </si>
  <si>
    <t>B50</t>
  </si>
  <si>
    <t>B51</t>
  </si>
  <si>
    <t>B52</t>
  </si>
  <si>
    <t>B53</t>
  </si>
  <si>
    <t>B54</t>
  </si>
  <si>
    <t>B55</t>
  </si>
  <si>
    <t>B56</t>
  </si>
  <si>
    <t>B57</t>
  </si>
  <si>
    <t>B58</t>
  </si>
  <si>
    <t>B59</t>
  </si>
  <si>
    <t>B60</t>
  </si>
  <si>
    <t>B61</t>
  </si>
  <si>
    <t>B62</t>
  </si>
  <si>
    <t>B63</t>
  </si>
  <si>
    <t>B64</t>
  </si>
  <si>
    <t>B65</t>
  </si>
  <si>
    <t>B66</t>
  </si>
  <si>
    <t>B67</t>
  </si>
  <si>
    <t>B70</t>
  </si>
  <si>
    <t>B98</t>
  </si>
  <si>
    <t>B114</t>
  </si>
  <si>
    <t>B124</t>
  </si>
  <si>
    <t>Pool</t>
  </si>
  <si>
    <t>L12</t>
  </si>
  <si>
    <t>3G</t>
  </si>
  <si>
    <t>3H</t>
  </si>
  <si>
    <t>H</t>
  </si>
  <si>
    <t>I</t>
  </si>
  <si>
    <t>K</t>
  </si>
  <si>
    <t>3I</t>
  </si>
  <si>
    <t>3J</t>
  </si>
  <si>
    <t>3K</t>
  </si>
  <si>
    <t>3L</t>
  </si>
  <si>
    <t>Los 8 mejores terceros son…</t>
  </si>
  <si>
    <t>ABCDEFGH</t>
  </si>
  <si>
    <t>ABCDEFGI</t>
  </si>
  <si>
    <t>ABCDEFGJ</t>
  </si>
  <si>
    <t>ABCDEFGK</t>
  </si>
  <si>
    <t>ABCDEFGL</t>
  </si>
  <si>
    <t>ABCDEFHI</t>
  </si>
  <si>
    <t>ABCDEFHJ</t>
  </si>
  <si>
    <t>ABCDEFHK</t>
  </si>
  <si>
    <t>ABCDEFHL</t>
  </si>
  <si>
    <t>ABCDEFIJ</t>
  </si>
  <si>
    <t>ABCDEFIK</t>
  </si>
  <si>
    <t>ABCDEFIL</t>
  </si>
  <si>
    <t>ABCDEFJK</t>
  </si>
  <si>
    <t>ABCDEFJL</t>
  </si>
  <si>
    <t>ABCDEFKL</t>
  </si>
  <si>
    <t>BCDEFGHI</t>
  </si>
  <si>
    <t>BCDEFGHJ</t>
  </si>
  <si>
    <t>BCDEFGHK</t>
  </si>
  <si>
    <t>BCDEFGHL</t>
  </si>
  <si>
    <t>BCDEFGIJ</t>
  </si>
  <si>
    <t>BCDEFGIK</t>
  </si>
  <si>
    <t>BCDEFGIL</t>
  </si>
  <si>
    <t>BCDEFGJK</t>
  </si>
  <si>
    <t>BCDEFGJL</t>
  </si>
  <si>
    <t>CDEFGHIJ</t>
  </si>
  <si>
    <t>CDEFGHIK</t>
  </si>
  <si>
    <t>CDEFGHIL</t>
  </si>
  <si>
    <t>CDEFGHJK</t>
  </si>
  <si>
    <t>CDEFGHJL</t>
  </si>
  <si>
    <t>CDEFGHKL</t>
  </si>
  <si>
    <t>BCDEFGKL</t>
  </si>
  <si>
    <t>DEFGHIJK</t>
  </si>
  <si>
    <t>DEFGHIJL</t>
  </si>
  <si>
    <t>DEFGHIKL</t>
  </si>
  <si>
    <t>EFGHIJKL</t>
  </si>
  <si>
    <t>WORLDCUP</t>
  </si>
  <si>
    <t>Dieciseisavos de final</t>
  </si>
  <si>
    <t>Round of 32</t>
  </si>
  <si>
    <t>1/16</t>
  </si>
  <si>
    <t>GG</t>
  </si>
  <si>
    <t>GH</t>
  </si>
  <si>
    <t>GI</t>
  </si>
  <si>
    <t>GJ</t>
  </si>
  <si>
    <t>GK</t>
  </si>
  <si>
    <t>GL</t>
  </si>
  <si>
    <t>DIECISEISAVOS</t>
  </si>
  <si>
    <t>3º y 4º puesto</t>
  </si>
  <si>
    <t>3rd-4th place</t>
  </si>
  <si>
    <t>3-4</t>
  </si>
  <si>
    <t>XXIII Mundial USA/MEX/CAN 2026</t>
  </si>
  <si>
    <t>XXIII World Cup USA/MEX/CAN 2026</t>
  </si>
  <si>
    <t>3º-4º puesto</t>
  </si>
  <si>
    <t>Estados Unidos</t>
  </si>
  <si>
    <t>United States</t>
  </si>
  <si>
    <t>Bota de Oro  (máximo goleador)</t>
  </si>
  <si>
    <t>Bota de Plata (2º máximo goleador)</t>
  </si>
  <si>
    <t>Bota de Bronce (3º máximo goleador)</t>
  </si>
  <si>
    <t>Balón de Oro  (mejor jugador)</t>
  </si>
  <si>
    <t>Balón de Plata (2º mejor jugador)</t>
  </si>
  <si>
    <t>Balón de Bronce (3º mejor jugador)</t>
  </si>
  <si>
    <t>Golden Boot  (Top Scorer)</t>
  </si>
  <si>
    <t>Silver Boot  (2nd Top Scorer)</t>
  </si>
  <si>
    <t>Bronze Boot (3rd Top Scorer)</t>
  </si>
  <si>
    <t>Golden Ball (Best Player)</t>
  </si>
  <si>
    <t>Silver Ball (2nd Best Player)</t>
  </si>
  <si>
    <t>G1</t>
  </si>
  <si>
    <t>G2</t>
  </si>
  <si>
    <t>H1</t>
  </si>
  <si>
    <t>H2</t>
  </si>
  <si>
    <t>I2</t>
  </si>
  <si>
    <t>K1</t>
  </si>
  <si>
    <t>1º GRUPO G</t>
  </si>
  <si>
    <t>2º GRUPO G</t>
  </si>
  <si>
    <t>3º GRUPO G</t>
  </si>
  <si>
    <t>4º GRUPO G</t>
  </si>
  <si>
    <t>1st GROUP G</t>
  </si>
  <si>
    <t>2nd GROUP G</t>
  </si>
  <si>
    <t>3rd GROUP G</t>
  </si>
  <si>
    <t>4th GROUP G</t>
  </si>
  <si>
    <t>1º GRUPO H</t>
  </si>
  <si>
    <t>2º GRUPO H</t>
  </si>
  <si>
    <t>3º GRUPO H</t>
  </si>
  <si>
    <t>4º GRUPO H</t>
  </si>
  <si>
    <t>1st GROUP H</t>
  </si>
  <si>
    <t>2nd GROUP H</t>
  </si>
  <si>
    <t>3rd GROUP H</t>
  </si>
  <si>
    <t>4th GROUP H</t>
  </si>
  <si>
    <t>1º GRUPO I</t>
  </si>
  <si>
    <t>2º GRUPO I</t>
  </si>
  <si>
    <t>3º GRUPO I</t>
  </si>
  <si>
    <t>4º GRUPO I</t>
  </si>
  <si>
    <t>1st GROUP I</t>
  </si>
  <si>
    <t>2nd GROUP I</t>
  </si>
  <si>
    <t>3rd GROUP I</t>
  </si>
  <si>
    <t>4th GROUP I</t>
  </si>
  <si>
    <t>1º GRUPO J</t>
  </si>
  <si>
    <t>2º GRUPO J</t>
  </si>
  <si>
    <t>3º GRUPO J</t>
  </si>
  <si>
    <t>4º GRUPO J</t>
  </si>
  <si>
    <t>1st GROUP J</t>
  </si>
  <si>
    <t>2nd GROUP J</t>
  </si>
  <si>
    <t>3rd GROUP J</t>
  </si>
  <si>
    <t>4th GROUP J</t>
  </si>
  <si>
    <t>1º GRUPO K</t>
  </si>
  <si>
    <t>2º GRUPO K</t>
  </si>
  <si>
    <t>3º GRUPO K</t>
  </si>
  <si>
    <t>4º GRUPO K</t>
  </si>
  <si>
    <t>1st GROUP K</t>
  </si>
  <si>
    <t>2nd GROUP K</t>
  </si>
  <si>
    <t>3rd GROUP K</t>
  </si>
  <si>
    <t>4th GROUP K</t>
  </si>
  <si>
    <t>1º GRUPO L</t>
  </si>
  <si>
    <t>2º GRUPO L</t>
  </si>
  <si>
    <t>3º GRUPO L</t>
  </si>
  <si>
    <t>4º GRUPO L</t>
  </si>
  <si>
    <t>1st GROUP L</t>
  </si>
  <si>
    <t>2nd GROUP L</t>
  </si>
  <si>
    <t>3rd GROUP L</t>
  </si>
  <si>
    <t>4th GROUP L</t>
  </si>
  <si>
    <t>CLASIFICADOS PARA DIECISEISAVOS</t>
  </si>
  <si>
    <t>QUALIFIED FOR ROUND OF 32</t>
  </si>
  <si>
    <t>Dieciseisavofinalista</t>
  </si>
  <si>
    <t>16-Finalist</t>
  </si>
  <si>
    <t>ENFRENTAMIENTOS DIECISEISAVOS</t>
  </si>
  <si>
    <t>ROUND OF 32</t>
  </si>
  <si>
    <t>CLASIFICADOS PARA EL 3º y 4º PUESTO</t>
  </si>
  <si>
    <t>QUALIFIED FOR 3rd-4th PLACE</t>
  </si>
  <si>
    <t>3-4
&amp;
F</t>
  </si>
  <si>
    <t>·For de round of 32 matches, copy from C164 to C197 and paste in the administrator template in "Paste Values Round of 32"</t>
  </si>
  <si>
    <t>·For the round of Quarterfinals matches, copy from C220 to C229 and paste in the administrator template in "Paste Values Quarterfinals"</t>
  </si>
  <si>
    <t>·For the round of 16 matches, copy from C200 to C217 and paste in the administrator template in "Paste Values Round of 16"</t>
  </si>
  <si>
    <t>·For the round of Semi-Finals matches, copy from C232 to C241 and paste in the administrator template in "Paste Values Semifinals"</t>
  </si>
  <si>
    <t>·For the Final and 3-4 place matches, copy from C244 to C252 and paste in the administrator template in "Paste Values Final"</t>
  </si>
  <si>
    <t>·Si haceis todas las eliminatorias de golpe, copiar de la C164 a la C252 y pegar valores en la plantilla de Administrador.</t>
  </si>
  <si>
    <t>ACDEFGHI</t>
  </si>
  <si>
    <t>ACDEFGHJ</t>
  </si>
  <si>
    <t>ACDEFGHK</t>
  </si>
  <si>
    <t>ACDEFGHL</t>
  </si>
  <si>
    <t>ACDEFGIJ</t>
  </si>
  <si>
    <t>ACDEFGIK</t>
  </si>
  <si>
    <t>ACDEFGIL</t>
  </si>
  <si>
    <t>ACDEFGJK</t>
  </si>
  <si>
    <t>ACDEFGJL</t>
  </si>
  <si>
    <t>ADEFGHIJ</t>
  </si>
  <si>
    <t>ADEFGHIK</t>
  </si>
  <si>
    <t>ADEFGHIL</t>
  </si>
  <si>
    <t>ADEFGHJK</t>
  </si>
  <si>
    <t>ADEFGHJL</t>
  </si>
  <si>
    <t>ADEFGHKL</t>
  </si>
  <si>
    <t>AEFGHIKL</t>
  </si>
  <si>
    <t>AEFGHIJK</t>
  </si>
  <si>
    <t>AEFGHIJL</t>
  </si>
  <si>
    <t>AFGHIJKL</t>
  </si>
  <si>
    <t>BDEFGHIJ</t>
  </si>
  <si>
    <t>BDEFGHIK</t>
  </si>
  <si>
    <t>BDEFGHIL</t>
  </si>
  <si>
    <t>BDEFGHJK</t>
  </si>
  <si>
    <t>BDEFGHJL</t>
  </si>
  <si>
    <t>BDEFGHKL</t>
  </si>
  <si>
    <t>BEFGHIJK</t>
  </si>
  <si>
    <t>BEFGHIJL</t>
  </si>
  <si>
    <t>BEFGHIKL</t>
  </si>
  <si>
    <t>BFGHIJKL</t>
  </si>
  <si>
    <t>CEFGHIJK</t>
  </si>
  <si>
    <t>CEFGHIJL</t>
  </si>
  <si>
    <t>CEFGHIKL</t>
  </si>
  <si>
    <t>CFGHIJKL</t>
  </si>
  <si>
    <t>DFGHIJKL</t>
  </si>
  <si>
    <t>PosF1</t>
  </si>
  <si>
    <t>PosF3</t>
  </si>
  <si>
    <t>PTS</t>
  </si>
  <si>
    <t>Empate1</t>
  </si>
  <si>
    <t>Empate2</t>
  </si>
  <si>
    <t>Posicion1</t>
  </si>
  <si>
    <t>Posicion2</t>
  </si>
  <si>
    <t>Posicion3</t>
  </si>
  <si>
    <t>Empate3</t>
  </si>
  <si>
    <t>Posicion4</t>
  </si>
  <si>
    <t>Empate4</t>
  </si>
  <si>
    <t>Posicion5</t>
  </si>
  <si>
    <t>Empate5</t>
  </si>
  <si>
    <t>Posicion6</t>
  </si>
  <si>
    <t>Empate6</t>
  </si>
  <si>
    <t>OrdenAlfa</t>
  </si>
  <si>
    <t>PosicionF1</t>
  </si>
  <si>
    <t>PosicionF2</t>
  </si>
  <si>
    <t>Criterio/Fila</t>
  </si>
  <si>
    <t>PosicionF3</t>
  </si>
  <si>
    <t>PGPart1</t>
  </si>
  <si>
    <t>PEPart1</t>
  </si>
  <si>
    <t>PPPart1</t>
  </si>
  <si>
    <t>PTSPart1</t>
  </si>
  <si>
    <t>Empate1L</t>
  </si>
  <si>
    <t>Empate1V</t>
  </si>
  <si>
    <t>Empate2L</t>
  </si>
  <si>
    <t>Empate2V</t>
  </si>
  <si>
    <t>GFPart1</t>
  </si>
  <si>
    <t>GCPart1</t>
  </si>
  <si>
    <t>DGPArt1</t>
  </si>
  <si>
    <t>Empate3L</t>
  </si>
  <si>
    <t>Empate3V</t>
  </si>
  <si>
    <t>1A</t>
  </si>
  <si>
    <t>2A</t>
  </si>
  <si>
    <t>4A</t>
  </si>
  <si>
    <t>1B</t>
  </si>
  <si>
    <t>2B</t>
  </si>
  <si>
    <t>4B</t>
  </si>
  <si>
    <t>1C</t>
  </si>
  <si>
    <t>POS</t>
  </si>
  <si>
    <t>CANT</t>
  </si>
  <si>
    <t>CONCAT</t>
  </si>
  <si>
    <t>DESEMPATE EN SELECTOR</t>
  </si>
  <si>
    <t>2C</t>
  </si>
  <si>
    <t>4C</t>
  </si>
  <si>
    <t>1D</t>
  </si>
  <si>
    <t>2D</t>
  </si>
  <si>
    <t>4D</t>
  </si>
  <si>
    <t>1E</t>
  </si>
  <si>
    <t>2E</t>
  </si>
  <si>
    <t>4E</t>
  </si>
  <si>
    <t>1F</t>
  </si>
  <si>
    <t>2F</t>
  </si>
  <si>
    <t>4F</t>
  </si>
  <si>
    <t>1G</t>
  </si>
  <si>
    <t>2G</t>
  </si>
  <si>
    <t>4G</t>
  </si>
  <si>
    <t>1H</t>
  </si>
  <si>
    <t>2H</t>
  </si>
  <si>
    <t>4H</t>
  </si>
  <si>
    <t>1I</t>
  </si>
  <si>
    <t>2I</t>
  </si>
  <si>
    <t>4I</t>
  </si>
  <si>
    <t>1J</t>
  </si>
  <si>
    <t>2J</t>
  </si>
  <si>
    <t>4J</t>
  </si>
  <si>
    <t>1K</t>
  </si>
  <si>
    <t>2K</t>
  </si>
  <si>
    <t>4K</t>
  </si>
  <si>
    <t>1L</t>
  </si>
  <si>
    <t>2L</t>
  </si>
  <si>
    <t>4L</t>
  </si>
  <si>
    <t>2A-2B</t>
  </si>
  <si>
    <t>1E-3ABCDF</t>
  </si>
  <si>
    <t>1F-2C</t>
  </si>
  <si>
    <t>1C-2F</t>
  </si>
  <si>
    <t>1I-3CDFGH</t>
  </si>
  <si>
    <t>2E-2I</t>
  </si>
  <si>
    <t>1A-3CEFHI</t>
  </si>
  <si>
    <t>1L-3EHIJK</t>
  </si>
  <si>
    <t>1D-3BEFIJ</t>
  </si>
  <si>
    <t>1G-3AEHIJ</t>
  </si>
  <si>
    <t>2K-2L</t>
  </si>
  <si>
    <t>1H-2J</t>
  </si>
  <si>
    <t>1B-3EFGIJ</t>
  </si>
  <si>
    <t>1J-2H</t>
  </si>
  <si>
    <t>1K-3DEIJL</t>
  </si>
  <si>
    <t>2D-2G</t>
  </si>
  <si>
    <t>W74-W77</t>
  </si>
  <si>
    <t>W73-W75</t>
  </si>
  <si>
    <t>W76-W78</t>
  </si>
  <si>
    <t>W79-W80</t>
  </si>
  <si>
    <t>W83-W84</t>
  </si>
  <si>
    <t>W81-W82</t>
  </si>
  <si>
    <t>W86-W88</t>
  </si>
  <si>
    <t>W85-W87</t>
  </si>
  <si>
    <t>W89-W90</t>
  </si>
  <si>
    <t>W93-W94</t>
  </si>
  <si>
    <t>W91-W92</t>
  </si>
  <si>
    <t>W95-W96</t>
  </si>
  <si>
    <t>W97-W98</t>
  </si>
  <si>
    <t>W99-W100</t>
  </si>
  <si>
    <t>L101-L102</t>
  </si>
  <si>
    <t>W101-W102</t>
  </si>
  <si>
    <t>#</t>
  </si>
  <si>
    <t>OCTAVOS</t>
  </si>
  <si>
    <t>GRUPO</t>
  </si>
  <si>
    <t>FECHA</t>
  </si>
  <si>
    <t>TOTAL</t>
  </si>
  <si>
    <t>3ABCDF</t>
  </si>
  <si>
    <t>3CDFGH</t>
  </si>
  <si>
    <t>3CEFHI</t>
  </si>
  <si>
    <t>3EHIJK</t>
  </si>
  <si>
    <t>3BEFIJ</t>
  </si>
  <si>
    <t>3AEHIJ</t>
  </si>
  <si>
    <t>3EFGIJ</t>
  </si>
  <si>
    <t>3DEIJL</t>
  </si>
  <si>
    <t>W74</t>
  </si>
  <si>
    <t>W77</t>
  </si>
  <si>
    <t>W73</t>
  </si>
  <si>
    <t>W75</t>
  </si>
  <si>
    <t>W76</t>
  </si>
  <si>
    <t>W78</t>
  </si>
  <si>
    <t>W79</t>
  </si>
  <si>
    <t>W80</t>
  </si>
  <si>
    <t>W83</t>
  </si>
  <si>
    <t>W84</t>
  </si>
  <si>
    <t>W81</t>
  </si>
  <si>
    <t>W82</t>
  </si>
  <si>
    <t>W86</t>
  </si>
  <si>
    <t>W88</t>
  </si>
  <si>
    <t>W85</t>
  </si>
  <si>
    <t>W87</t>
  </si>
  <si>
    <t>W89</t>
  </si>
  <si>
    <t>W90</t>
  </si>
  <si>
    <t>W93</t>
  </si>
  <si>
    <t>W94</t>
  </si>
  <si>
    <t>W91</t>
  </si>
  <si>
    <t>W92</t>
  </si>
  <si>
    <t>W95</t>
  </si>
  <si>
    <t>W96</t>
  </si>
  <si>
    <t>W97</t>
  </si>
  <si>
    <t>W98</t>
  </si>
  <si>
    <t>W99</t>
  </si>
  <si>
    <t>W100</t>
  </si>
  <si>
    <t>L101</t>
  </si>
  <si>
    <t>L102</t>
  </si>
  <si>
    <t>W101</t>
  </si>
  <si>
    <t>W102</t>
  </si>
  <si>
    <t>POSGRUPO</t>
  </si>
  <si>
    <t>PAIS</t>
  </si>
  <si>
    <t>ORDEN</t>
  </si>
  <si>
    <t>ABCEFHIL</t>
  </si>
  <si>
    <t>ABCDEGHI</t>
  </si>
  <si>
    <t>ABCDEGHJ</t>
  </si>
  <si>
    <t>ABCDEGHK</t>
  </si>
  <si>
    <t>ABCDEGHL</t>
  </si>
  <si>
    <t>ABCDEGIJ</t>
  </si>
  <si>
    <t>ABCDEGIK</t>
  </si>
  <si>
    <t>ABCDEGIL</t>
  </si>
  <si>
    <t>ABCDEGJK</t>
  </si>
  <si>
    <t>ABCDEGJL</t>
  </si>
  <si>
    <t>ABCDEGKL</t>
  </si>
  <si>
    <t>ABCDEHIJ</t>
  </si>
  <si>
    <t>ABCDEHIK</t>
  </si>
  <si>
    <t>ABCDEHIL</t>
  </si>
  <si>
    <t>ABCDEHJK</t>
  </si>
  <si>
    <t>ABCDEHJL</t>
  </si>
  <si>
    <t>ABCDEHKL</t>
  </si>
  <si>
    <t>ABCDEIJK</t>
  </si>
  <si>
    <t>ABCDEIJL</t>
  </si>
  <si>
    <t>ABCDEIKL</t>
  </si>
  <si>
    <t>ABCDEJKL</t>
  </si>
  <si>
    <t>ABCDFGHI</t>
  </si>
  <si>
    <t>ABCDFGHJ</t>
  </si>
  <si>
    <t>ABCDFGHK</t>
  </si>
  <si>
    <t>ABCDFGHL</t>
  </si>
  <si>
    <t>ABCDFGIJ</t>
  </si>
  <si>
    <t>ABCDFGIK</t>
  </si>
  <si>
    <t>ABCDFGIL</t>
  </si>
  <si>
    <t>ABCDFGJK</t>
  </si>
  <si>
    <t>ABCDFGJL</t>
  </si>
  <si>
    <t>ABCDFGKL</t>
  </si>
  <si>
    <t>ABCDFHIJ</t>
  </si>
  <si>
    <t>ABCDFHIK</t>
  </si>
  <si>
    <t>ABCDFHIL</t>
  </si>
  <si>
    <t>ABCDFHJK</t>
  </si>
  <si>
    <t>ABCDFHJL</t>
  </si>
  <si>
    <t>ABCDFHKL</t>
  </si>
  <si>
    <t>ABCDFIJK</t>
  </si>
  <si>
    <t>ABCDFIJL</t>
  </si>
  <si>
    <t>ABCDFIKL</t>
  </si>
  <si>
    <t>ABCDFJKL</t>
  </si>
  <si>
    <t>ABCDGHIJ</t>
  </si>
  <si>
    <t>ABCDGHIK</t>
  </si>
  <si>
    <t>ABCDGHIL</t>
  </si>
  <si>
    <t>ABCDGHJK</t>
  </si>
  <si>
    <t>ABCDGHJL</t>
  </si>
  <si>
    <t>ABCDGHKL</t>
  </si>
  <si>
    <t>ABCDGIJK</t>
  </si>
  <si>
    <t>ABCDGIJL</t>
  </si>
  <si>
    <t>ABCDGIKL</t>
  </si>
  <si>
    <t>ABCDGJKL</t>
  </si>
  <si>
    <t>ABCDHIJK</t>
  </si>
  <si>
    <t>ABCDHIJL</t>
  </si>
  <si>
    <t>ABCDHIKL</t>
  </si>
  <si>
    <t>ABCDHJKL</t>
  </si>
  <si>
    <t>ABCDIJKL</t>
  </si>
  <si>
    <t>ABCEFGHI</t>
  </si>
  <si>
    <t>ABCEFGHJ</t>
  </si>
  <si>
    <t>ABCEFGHK</t>
  </si>
  <si>
    <t>ABCEFGHL</t>
  </si>
  <si>
    <t>ABCEFGIJ</t>
  </si>
  <si>
    <t>ABCEFGIK</t>
  </si>
  <si>
    <t>ABCEFGIL</t>
  </si>
  <si>
    <t>ABCEFGJK</t>
  </si>
  <si>
    <t>ABCEFGJL</t>
  </si>
  <si>
    <t>ABCEFGKL</t>
  </si>
  <si>
    <t>ABCEFHIJ</t>
  </si>
  <si>
    <t>ABCEFHIK</t>
  </si>
  <si>
    <t>ABCEFHJK</t>
  </si>
  <si>
    <t>ABCEFHJL</t>
  </si>
  <si>
    <t>ABCEFHKL</t>
  </si>
  <si>
    <t>ABCEFIJK</t>
  </si>
  <si>
    <t>ABCEFIJL</t>
  </si>
  <si>
    <t>ABCEFIKL</t>
  </si>
  <si>
    <t>ABCEFJKL</t>
  </si>
  <si>
    <t>ABCEGHIJ</t>
  </si>
  <si>
    <t>ABCEGHIK</t>
  </si>
  <si>
    <t>ABCEGHIL</t>
  </si>
  <si>
    <t>ABCEGHJK</t>
  </si>
  <si>
    <t>ABCEGHJL</t>
  </si>
  <si>
    <t>ABCEGHKL</t>
  </si>
  <si>
    <t>ABCEGIJK</t>
  </si>
  <si>
    <t>ABCEGIJL</t>
  </si>
  <si>
    <t>ABCEGIKL</t>
  </si>
  <si>
    <t>ABCEGJKL</t>
  </si>
  <si>
    <t>ABCEHIJK</t>
  </si>
  <si>
    <t>ABCEHIJL</t>
  </si>
  <si>
    <t>ABCEHIKL</t>
  </si>
  <si>
    <t>ABCEHJKL</t>
  </si>
  <si>
    <t>ABCEIJKL</t>
  </si>
  <si>
    <t>ABCFGHIJ</t>
  </si>
  <si>
    <t>ABCFGHIK</t>
  </si>
  <si>
    <t>ABCFGHIL</t>
  </si>
  <si>
    <t>ABCFGHJK</t>
  </si>
  <si>
    <t>ABCFGHJL</t>
  </si>
  <si>
    <t>ABCFGHKL</t>
  </si>
  <si>
    <t>ABCFGIJK</t>
  </si>
  <si>
    <t>ABCFGIJL</t>
  </si>
  <si>
    <t>ABCFGIKL</t>
  </si>
  <si>
    <t>ABCFGJKL</t>
  </si>
  <si>
    <t>ABCFHIJK</t>
  </si>
  <si>
    <t>ABCFHIJL</t>
  </si>
  <si>
    <t>ABCFHIKL</t>
  </si>
  <si>
    <t>ABCFHJKL</t>
  </si>
  <si>
    <t>ABCFIJKL</t>
  </si>
  <si>
    <t>ABCGHIJK</t>
  </si>
  <si>
    <t>ABCGHIJL</t>
  </si>
  <si>
    <t>ABCGHIKL</t>
  </si>
  <si>
    <t>ABCGHJKL</t>
  </si>
  <si>
    <t>ABCGIJKL</t>
  </si>
  <si>
    <t>ABCHIJKL</t>
  </si>
  <si>
    <t>ABDEFGHI</t>
  </si>
  <si>
    <t>ABDEFGHJ</t>
  </si>
  <si>
    <t>ABDEFGHK</t>
  </si>
  <si>
    <t>ABDEFGHL</t>
  </si>
  <si>
    <t>ABDEFGIJ</t>
  </si>
  <si>
    <t>ABDEFGIK</t>
  </si>
  <si>
    <t>ABDEFGIL</t>
  </si>
  <si>
    <t>ABDEFGJK</t>
  </si>
  <si>
    <t>ABDEFGJL</t>
  </si>
  <si>
    <t>ABDEFGKL</t>
  </si>
  <si>
    <t>ABDEFHIJ</t>
  </si>
  <si>
    <t>ABDEFHIK</t>
  </si>
  <si>
    <t>ABDEFHIL</t>
  </si>
  <si>
    <t>ABDEFHJK</t>
  </si>
  <si>
    <t>ABDEFHJL</t>
  </si>
  <si>
    <t>ABDEFHKL</t>
  </si>
  <si>
    <t>ABDEFIJK</t>
  </si>
  <si>
    <t>ABDEFIJL</t>
  </si>
  <si>
    <t>ABDEFIKL</t>
  </si>
  <si>
    <t>ABDEFJKL</t>
  </si>
  <si>
    <t>ABDEGHIJ</t>
  </si>
  <si>
    <t>ABDEGHIK</t>
  </si>
  <si>
    <t>ABDEGHIL</t>
  </si>
  <si>
    <t>ABDEGHJK</t>
  </si>
  <si>
    <t>ABDEGHJL</t>
  </si>
  <si>
    <t>ABDEGHKL</t>
  </si>
  <si>
    <t>ABDEGIJK</t>
  </si>
  <si>
    <t>ABDEGIJL</t>
  </si>
  <si>
    <t>ABDEGIKL</t>
  </si>
  <si>
    <t>ABDEGJKL</t>
  </si>
  <si>
    <t>ABDEHIJK</t>
  </si>
  <si>
    <t>ABDEHIJL</t>
  </si>
  <si>
    <t>ABDEHIKL</t>
  </si>
  <si>
    <t>ABDEHJKL</t>
  </si>
  <si>
    <t>ABDEIJKL</t>
  </si>
  <si>
    <t>ABDFGHIJ</t>
  </si>
  <si>
    <t>ABDFGHIK</t>
  </si>
  <si>
    <t>ABDFGHIL</t>
  </si>
  <si>
    <t>ABDFGHJK</t>
  </si>
  <si>
    <t>ABDFGHJL</t>
  </si>
  <si>
    <t>ABDFGHKL</t>
  </si>
  <si>
    <t>ABDFGIJK</t>
  </si>
  <si>
    <t>ABDFGIJL</t>
  </si>
  <si>
    <t>ABDFGIKL</t>
  </si>
  <si>
    <t>ABDFGJKL</t>
  </si>
  <si>
    <t>ABDFHIJK</t>
  </si>
  <si>
    <t>ABDFHIJL</t>
  </si>
  <si>
    <t>ABDFHIKL</t>
  </si>
  <si>
    <t>ABDFHJKL</t>
  </si>
  <si>
    <t>ABDFIJKL</t>
  </si>
  <si>
    <t>ABDGHIJK</t>
  </si>
  <si>
    <t>ABDGHIJL</t>
  </si>
  <si>
    <t>ABDGHIKL</t>
  </si>
  <si>
    <t>ABDGHJKL</t>
  </si>
  <si>
    <t>ABDGIJKL</t>
  </si>
  <si>
    <t>ABDHIJKL</t>
  </si>
  <si>
    <t>ABEFGHIJ</t>
  </si>
  <si>
    <t>ABEFGHIK</t>
  </si>
  <si>
    <t>ABEFGHIL</t>
  </si>
  <si>
    <t>ABEFGHJK</t>
  </si>
  <si>
    <t>ABEFGHJL</t>
  </si>
  <si>
    <t>ABEFGHKL</t>
  </si>
  <si>
    <t>ABEFGIJK</t>
  </si>
  <si>
    <t>ABEFGIJL</t>
  </si>
  <si>
    <t>ABEFGIKL</t>
  </si>
  <si>
    <t>ABEFGJKL</t>
  </si>
  <si>
    <t>ABEFHIJK</t>
  </si>
  <si>
    <t>ABEFHIJL</t>
  </si>
  <si>
    <t>ABEFHIKL</t>
  </si>
  <si>
    <t>ABEFHJKL</t>
  </si>
  <si>
    <t>ABEFIJKL</t>
  </si>
  <si>
    <t>ABEGHIJK</t>
  </si>
  <si>
    <t>ABEGHIJL</t>
  </si>
  <si>
    <t>ABEGHIKL</t>
  </si>
  <si>
    <t>ABEGHJKL</t>
  </si>
  <si>
    <t>ABEGIJKL</t>
  </si>
  <si>
    <t>ABEHIJKL</t>
  </si>
  <si>
    <t>ABFGHIJK</t>
  </si>
  <si>
    <t>ABFGHIJL</t>
  </si>
  <si>
    <t>ABFGHIKL</t>
  </si>
  <si>
    <t>ABFGHJKL</t>
  </si>
  <si>
    <t>ABFGIJKL</t>
  </si>
  <si>
    <t>ABFHIJKL</t>
  </si>
  <si>
    <t>ABGHIJKL</t>
  </si>
  <si>
    <t>ACDEFGKL</t>
  </si>
  <si>
    <t>ACDEFHIJ</t>
  </si>
  <si>
    <t>ACDEFHIK</t>
  </si>
  <si>
    <t>ACDEFHIL</t>
  </si>
  <si>
    <t>ACDEFHJK</t>
  </si>
  <si>
    <t>ACDEFHJL</t>
  </si>
  <si>
    <t>ACDEFHKL</t>
  </si>
  <si>
    <t>ACDEFIJK</t>
  </si>
  <si>
    <t>ACDEFIJL</t>
  </si>
  <si>
    <t>ACDEFIKL</t>
  </si>
  <si>
    <t>ACDEFJKL</t>
  </si>
  <si>
    <t>ACDEGHIJ</t>
  </si>
  <si>
    <t>ACDEGHIK</t>
  </si>
  <si>
    <t>ACDEGHIL</t>
  </si>
  <si>
    <t>ACDEGHJK</t>
  </si>
  <si>
    <t>ACDEGHJL</t>
  </si>
  <si>
    <t>ACDEGHKL</t>
  </si>
  <si>
    <t>ACDEGIJK</t>
  </si>
  <si>
    <t>ACDEGIJL</t>
  </si>
  <si>
    <t>ACDEGIKL</t>
  </si>
  <si>
    <t>ACDEGJKL</t>
  </si>
  <si>
    <t>ACDEHIJK</t>
  </si>
  <si>
    <t>ACDEHIJL</t>
  </si>
  <si>
    <t>ACDEHIKL</t>
  </si>
  <si>
    <t>ACDEHJKL</t>
  </si>
  <si>
    <t>ACDEIJKL</t>
  </si>
  <si>
    <t>ACDFGHIJ</t>
  </si>
  <si>
    <t>ACDFGHIK</t>
  </si>
  <si>
    <t>ACDFGHIL</t>
  </si>
  <si>
    <t>ACDFGHJK</t>
  </si>
  <si>
    <t>ACDFGHJL</t>
  </si>
  <si>
    <t>ACDFGHKL</t>
  </si>
  <si>
    <t>ACDFGIJK</t>
  </si>
  <si>
    <t>ACDFGIJL</t>
  </si>
  <si>
    <t>ACDFGIKL</t>
  </si>
  <si>
    <t>ACDFGJKL</t>
  </si>
  <si>
    <t>ACDFHIJK</t>
  </si>
  <si>
    <t>ACDFHIJL</t>
  </si>
  <si>
    <t>ACDFHIKL</t>
  </si>
  <si>
    <t>ACDFHJKL</t>
  </si>
  <si>
    <t>ACDFIJKL</t>
  </si>
  <si>
    <t>ACDGHIJK</t>
  </si>
  <si>
    <t>ACDGHIJL</t>
  </si>
  <si>
    <t>ACDGHIKL</t>
  </si>
  <si>
    <t>ACDGHJKL</t>
  </si>
  <si>
    <t>ACDGIJKL</t>
  </si>
  <si>
    <t>ACDHIJKL</t>
  </si>
  <si>
    <t>ACEFGHIJ</t>
  </si>
  <si>
    <t>ACEFGHIK</t>
  </si>
  <si>
    <t>ACEFGHIL</t>
  </si>
  <si>
    <t>ACEFGHJK</t>
  </si>
  <si>
    <t>ACEFGHJL</t>
  </si>
  <si>
    <t>ACEFGHKL</t>
  </si>
  <si>
    <t>ACEFGIJK</t>
  </si>
  <si>
    <t>ACEFGIJL</t>
  </si>
  <si>
    <t>ACEFGIKL</t>
  </si>
  <si>
    <t>ACEFGJKL</t>
  </si>
  <si>
    <t>ACEFHIJK</t>
  </si>
  <si>
    <t>ACEFHIJL</t>
  </si>
  <si>
    <t>ACEFHIKL</t>
  </si>
  <si>
    <t>ACEFHJKL</t>
  </si>
  <si>
    <t>ACEFIJKL</t>
  </si>
  <si>
    <t>ACEGHIJK</t>
  </si>
  <si>
    <t>ACEGHIJL</t>
  </si>
  <si>
    <t>ACEGHIKL</t>
  </si>
  <si>
    <t>ACEGHJKL</t>
  </si>
  <si>
    <t>ACEGIJKL</t>
  </si>
  <si>
    <t>ACEHIJKL</t>
  </si>
  <si>
    <t>ACFGHIJK</t>
  </si>
  <si>
    <t>ACFGHIJL</t>
  </si>
  <si>
    <t>ACFGHIKL</t>
  </si>
  <si>
    <t>ACFGHJKL</t>
  </si>
  <si>
    <t>ACFGIJKL</t>
  </si>
  <si>
    <t>ACFHIJKL</t>
  </si>
  <si>
    <t>ACGHIJKL</t>
  </si>
  <si>
    <t>ADEFGIJK</t>
  </si>
  <si>
    <t>ADEFGIJL</t>
  </si>
  <si>
    <t>ADEFGIKL</t>
  </si>
  <si>
    <t>ADEFGJKL</t>
  </si>
  <si>
    <t>ADEFHIJK</t>
  </si>
  <si>
    <t>ADEFHIJL</t>
  </si>
  <si>
    <t>ADEFHIKL</t>
  </si>
  <si>
    <t>ADEFHJKL</t>
  </si>
  <si>
    <t>ADEFIJKL</t>
  </si>
  <si>
    <t>ADEGHIJK</t>
  </si>
  <si>
    <t>ADEGHIJL</t>
  </si>
  <si>
    <t>ADEGHIKL</t>
  </si>
  <si>
    <t>ADEGHJKL</t>
  </si>
  <si>
    <t>ADEGIJKL</t>
  </si>
  <si>
    <t>ADEHIJKL</t>
  </si>
  <si>
    <t>ADFGHIJK</t>
  </si>
  <si>
    <t>ADFGHIJL</t>
  </si>
  <si>
    <t>ADFGHIKL</t>
  </si>
  <si>
    <t>ADFGHJKL</t>
  </si>
  <si>
    <t>ADFGIJKL</t>
  </si>
  <si>
    <t>ADFHIJKL</t>
  </si>
  <si>
    <t>ADGHIJKL</t>
  </si>
  <si>
    <t>AEFGHJKL</t>
  </si>
  <si>
    <t>AEFGIJKL</t>
  </si>
  <si>
    <t>AEFHIJKL</t>
  </si>
  <si>
    <t>AEGHIJKL</t>
  </si>
  <si>
    <t>BCDEFHIJ</t>
  </si>
  <si>
    <t>BCDEFHIK</t>
  </si>
  <si>
    <t>BCDEFHIL</t>
  </si>
  <si>
    <t>BCDEFHJK</t>
  </si>
  <si>
    <t>BCDEFHJL</t>
  </si>
  <si>
    <t>BCDEFHKL</t>
  </si>
  <si>
    <t>BCDEFIJK</t>
  </si>
  <si>
    <t>BCDEFIJL</t>
  </si>
  <si>
    <t>BCDEFIKL</t>
  </si>
  <si>
    <t>BCDEFJKL</t>
  </si>
  <si>
    <t>BCDEGHIJ</t>
  </si>
  <si>
    <t>BCDEGHIK</t>
  </si>
  <si>
    <t>BCDEGHIL</t>
  </si>
  <si>
    <t>BCDEGHJK</t>
  </si>
  <si>
    <t>BCDEGHJL</t>
  </si>
  <si>
    <t>BCDEGHKL</t>
  </si>
  <si>
    <t>BCDEGIJK</t>
  </si>
  <si>
    <t>BCDEGIJL</t>
  </si>
  <si>
    <t>BCDEGIKL</t>
  </si>
  <si>
    <t>BCDEGJKL</t>
  </si>
  <si>
    <t>BCDEHIJK</t>
  </si>
  <si>
    <t>BCDEHIJL</t>
  </si>
  <si>
    <t>BCDEHIKL</t>
  </si>
  <si>
    <t>BCDEHJKL</t>
  </si>
  <si>
    <t>BCDEIJKL</t>
  </si>
  <si>
    <t>BCDFGHIJ</t>
  </si>
  <si>
    <t>BCDFGHIK</t>
  </si>
  <si>
    <t>BCDFGHIL</t>
  </si>
  <si>
    <t>BCDFGHJK</t>
  </si>
  <si>
    <t>BCDFGHJL</t>
  </si>
  <si>
    <t>BCDFGHKL</t>
  </si>
  <si>
    <t>BCDFGIJK</t>
  </si>
  <si>
    <t>BCDFGIJL</t>
  </si>
  <si>
    <t>BCDFGIKL</t>
  </si>
  <si>
    <t>BCDFGJKL</t>
  </si>
  <si>
    <t>BCDFHIJK</t>
  </si>
  <si>
    <t>BCDFHIJL</t>
  </si>
  <si>
    <t>BCDFHIKL</t>
  </si>
  <si>
    <t>BCDFHJKL</t>
  </si>
  <si>
    <t>BCDFIJKL</t>
  </si>
  <si>
    <t>BCDGHIJK</t>
  </si>
  <si>
    <t>BCDGHIJL</t>
  </si>
  <si>
    <t>BCDGHIKL</t>
  </si>
  <si>
    <t>BCDGHJKL</t>
  </si>
  <si>
    <t>BCDGIJKL</t>
  </si>
  <si>
    <t>BCDHIJKL</t>
  </si>
  <si>
    <t>BCEFGHIJ</t>
  </si>
  <si>
    <t>BCEFGHIK</t>
  </si>
  <si>
    <t>BCEFGHIL</t>
  </si>
  <si>
    <t>BCEFGHJK</t>
  </si>
  <si>
    <t>BCEFGHJL</t>
  </si>
  <si>
    <t>BCEFGHKL</t>
  </si>
  <si>
    <t>BCEFGIJK</t>
  </si>
  <si>
    <t>BCEFGIJL</t>
  </si>
  <si>
    <t>BCEFGIKL</t>
  </si>
  <si>
    <t>BCEFGJKL</t>
  </si>
  <si>
    <t>BCEFHIJK</t>
  </si>
  <si>
    <t>BCEFHIJL</t>
  </si>
  <si>
    <t>BCEFHIKL</t>
  </si>
  <si>
    <t>BCEFHJKL</t>
  </si>
  <si>
    <t>BCEFIJKL</t>
  </si>
  <si>
    <t>BCEGHIJK</t>
  </si>
  <si>
    <t>BCEGHIJL</t>
  </si>
  <si>
    <t>BCEGHIKL</t>
  </si>
  <si>
    <t>BCEGHJKL</t>
  </si>
  <si>
    <t>BCEGIJKL</t>
  </si>
  <si>
    <t>BCEHIJKL</t>
  </si>
  <si>
    <t>BCFGHIJK</t>
  </si>
  <si>
    <t>BCFGHIJL</t>
  </si>
  <si>
    <t>BCFGHIKL</t>
  </si>
  <si>
    <t>BCFGHJKL</t>
  </si>
  <si>
    <t>BCFGIJKL</t>
  </si>
  <si>
    <t>BCFHIJKL</t>
  </si>
  <si>
    <t>BCGHIJKL</t>
  </si>
  <si>
    <t>BDEFGIJK</t>
  </si>
  <si>
    <t>BDEFGIJL</t>
  </si>
  <si>
    <t>BDEFGIKL</t>
  </si>
  <si>
    <t>BDEFGJKL</t>
  </si>
  <si>
    <t>BDEFHIJK</t>
  </si>
  <si>
    <t>BDEFHIJL</t>
  </si>
  <si>
    <t>BDEFHIKL</t>
  </si>
  <si>
    <t>BDEFHJKL</t>
  </si>
  <si>
    <t>BDEFIJKL</t>
  </si>
  <si>
    <t>BDEGHIJK</t>
  </si>
  <si>
    <t>BDEGHIJL</t>
  </si>
  <si>
    <t>BDEGHIKL</t>
  </si>
  <si>
    <t>BDEGHJKL</t>
  </si>
  <si>
    <t>BDEGIJKL</t>
  </si>
  <si>
    <t>BDEHIJKL</t>
  </si>
  <si>
    <t>BDFGHIJK</t>
  </si>
  <si>
    <t>BDFGHIJL</t>
  </si>
  <si>
    <t>BDFGHIKL</t>
  </si>
  <si>
    <t>BDFGHJKL</t>
  </si>
  <si>
    <t>BDFGIJKL</t>
  </si>
  <si>
    <t>BDFHIJKL</t>
  </si>
  <si>
    <t>BDGHIJKL</t>
  </si>
  <si>
    <t>BEFGHJKL</t>
  </si>
  <si>
    <t>BEFGIJKL</t>
  </si>
  <si>
    <t>BEFHIJKL</t>
  </si>
  <si>
    <t>BEGHIJKL</t>
  </si>
  <si>
    <t>CDEFGIJK</t>
  </si>
  <si>
    <t>CDEFGIJL</t>
  </si>
  <si>
    <t>CDEFGIKL</t>
  </si>
  <si>
    <t>CDEFGJKL</t>
  </si>
  <si>
    <t>CDEFHIJK</t>
  </si>
  <si>
    <t>CDEFHIJL</t>
  </si>
  <si>
    <t>CDEFHIKL</t>
  </si>
  <si>
    <t>CDEFHJKL</t>
  </si>
  <si>
    <t>CDEFIJKL</t>
  </si>
  <si>
    <t>CDEGHIJK</t>
  </si>
  <si>
    <t>CDEGHIJL</t>
  </si>
  <si>
    <t>CDEGHIKL</t>
  </si>
  <si>
    <t>CDEGHJKL</t>
  </si>
  <si>
    <t>CDEGIJKL</t>
  </si>
  <si>
    <t>CDEHIJKL</t>
  </si>
  <si>
    <t>CDFGHIJK</t>
  </si>
  <si>
    <t>CDFGHIJL</t>
  </si>
  <si>
    <t>CDFGHIKL</t>
  </si>
  <si>
    <t>CDFGHJKL</t>
  </si>
  <si>
    <t>CDFGIJKL</t>
  </si>
  <si>
    <t>CDFHIJKL</t>
  </si>
  <si>
    <t>CDGHIJKL</t>
  </si>
  <si>
    <t>CEFGHJKL</t>
  </si>
  <si>
    <t>CEFGIJKL</t>
  </si>
  <si>
    <t>CEFHIJKL</t>
  </si>
  <si>
    <t>CEGHIJKL</t>
  </si>
  <si>
    <t>DEFGHJKL</t>
  </si>
  <si>
    <t>DEFGIJKL</t>
  </si>
  <si>
    <t>DEFHIJKL</t>
  </si>
  <si>
    <t>DEGHIJKL</t>
  </si>
  <si>
    <t>PARTIDO</t>
  </si>
  <si>
    <t>LOCAL</t>
  </si>
  <si>
    <t>VISITANTE</t>
  </si>
  <si>
    <t>EL 34 y la FINAL van diferentes como cogen los equipos, van directos, sin formulas previas</t>
  </si>
  <si>
    <t>Numero Partidos disputados grupo</t>
  </si>
  <si>
    <t>Rellenar los cuadros grises</t>
  </si>
  <si>
    <t>Fill in the gray cells</t>
  </si>
  <si>
    <t>L1</t>
  </si>
  <si>
    <t>L2</t>
  </si>
  <si>
    <t>L3</t>
  </si>
  <si>
    <t>WINNER</t>
  </si>
  <si>
    <t>GFPart2</t>
  </si>
  <si>
    <t>GCPart2</t>
  </si>
  <si>
    <t>DGPArt2</t>
  </si>
  <si>
    <t>PGPart2</t>
  </si>
  <si>
    <t>PEPart2</t>
  </si>
  <si>
    <t>PPPart2</t>
  </si>
  <si>
    <t>PTSPart2</t>
  </si>
  <si>
    <t>Posicion7</t>
  </si>
  <si>
    <t>Empate7</t>
  </si>
  <si>
    <t>Empate4L</t>
  </si>
  <si>
    <t>Empate4V</t>
  </si>
  <si>
    <t>Empate5L</t>
  </si>
  <si>
    <t>Empate5V</t>
  </si>
  <si>
    <t>Empate6L</t>
  </si>
  <si>
    <t>Empate6V</t>
  </si>
  <si>
    <t>Posicion8</t>
  </si>
  <si>
    <t>Empate8</t>
  </si>
  <si>
    <t>Posicion9</t>
  </si>
  <si>
    <t>Empate9</t>
  </si>
  <si>
    <t>Sí</t>
  </si>
  <si>
    <t>No</t>
  </si>
  <si>
    <t>Yes</t>
  </si>
  <si>
    <t>Z6</t>
  </si>
  <si>
    <t>Show the best third-placed teams before the group stage ends?</t>
  </si>
  <si>
    <t>Puntos penalizados</t>
  </si>
  <si>
    <t>Deducted Points</t>
  </si>
  <si>
    <t>3º puesto</t>
  </si>
  <si>
    <t>3rd place</t>
  </si>
  <si>
    <t>Pronóstica la ronda</t>
  </si>
  <si>
    <t>Predict the round</t>
  </si>
  <si>
    <t>Ronda</t>
  </si>
  <si>
    <t>Round</t>
  </si>
  <si>
    <t xml:space="preserve">·Si has rellenado todos y quieres hacer un cambio, </t>
  </si>
  <si>
    <t>·If you've filled everything out and want to make a change,</t>
  </si>
  <si>
    <t>Predictor</t>
  </si>
  <si>
    <t>Fase de grupos</t>
  </si>
  <si>
    <t>Group stage</t>
  </si>
  <si>
    <t>Predice la selección</t>
  </si>
  <si>
    <t>Predict nation</t>
  </si>
  <si>
    <t>·Selecciona para cada ronda el la selección o selecciones que crees que van a llegar hasta esa ronda.</t>
  </si>
  <si>
    <t xml:space="preserve"> borra las selecciones que quieras cambiar y podrás volver a elegirlas</t>
  </si>
  <si>
    <t>Rellenar antes del comienzo del Mundial</t>
  </si>
  <si>
    <t>Complete before World Cup begins</t>
  </si>
  <si>
    <t xml:space="preserve"> delete the nations you want to change and you can select them again.</t>
  </si>
  <si>
    <t>·Once you select a nation, it will no longer appear in the selector.</t>
  </si>
  <si>
    <t>·Select for each round the nation or nations that you think will reach that round.</t>
  </si>
  <si>
    <t>·Una vez elijas una selección, dejará de aparecer en la lista</t>
  </si>
  <si>
    <t>OrdenAlfa/Bombo</t>
  </si>
  <si>
    <t>Argentina</t>
  </si>
  <si>
    <t>Australia</t>
  </si>
  <si>
    <t>Brasil</t>
  </si>
  <si>
    <t>Canadá</t>
  </si>
  <si>
    <t>Corea del Sur</t>
  </si>
  <si>
    <t>Ecuador</t>
  </si>
  <si>
    <t>Irán</t>
  </si>
  <si>
    <t>Japón</t>
  </si>
  <si>
    <t>Jordania</t>
  </si>
  <si>
    <t>México</t>
  </si>
  <si>
    <t>Nueva Zelanda</t>
  </si>
  <si>
    <t>Uzbekistán</t>
  </si>
  <si>
    <t>Excel Liga Española 1ª División 2025-2026</t>
  </si>
  <si>
    <t>Excel Liga Española 2ª División 2025-2026</t>
  </si>
  <si>
    <t>Excel Premier League 2025-2026</t>
  </si>
  <si>
    <t>Excel Libertadores/Sudamericana 2026</t>
  </si>
  <si>
    <t>🇦🇷</t>
  </si>
  <si>
    <t>🇦🇺</t>
  </si>
  <si>
    <t>Brazil</t>
  </si>
  <si>
    <t>🇧🇷</t>
  </si>
  <si>
    <t>Canada</t>
  </si>
  <si>
    <t>🇨🇦</t>
  </si>
  <si>
    <t>South Korea</t>
  </si>
  <si>
    <t>🇰🇷</t>
  </si>
  <si>
    <t>🇪🇨</t>
  </si>
  <si>
    <t>🇺🇸</t>
  </si>
  <si>
    <t>Iran</t>
  </si>
  <si>
    <t>🇮🇷</t>
  </si>
  <si>
    <t>Japan</t>
  </si>
  <si>
    <t>🇯🇵</t>
  </si>
  <si>
    <t>Jordan</t>
  </si>
  <si>
    <t>🇯🇴</t>
  </si>
  <si>
    <t>Mexico</t>
  </si>
  <si>
    <t>🇲🇽</t>
  </si>
  <si>
    <t>New Zealand</t>
  </si>
  <si>
    <t>🇳🇿</t>
  </si>
  <si>
    <t>Uzbekistan</t>
  </si>
  <si>
    <t>🇺🇿</t>
  </si>
  <si>
    <t>EN 16 y en el 3ºy4º puesto son diferentes</t>
  </si>
  <si>
    <t>NO BORRAR ESTO EN 16S</t>
  </si>
  <si>
    <t>Octavofinalista</t>
  </si>
  <si>
    <t>Predictor Equipos</t>
  </si>
  <si>
    <t>Team Predictor</t>
  </si>
  <si>
    <t>Si quieres organizar una porra con tu grupo puedes descargar el archivo para administrarla desde aquí.</t>
  </si>
  <si>
    <t>If you want to organize a pool (betting game) with your group, you can download the file to manage it from here.</t>
  </si>
  <si>
    <t>Excel Champions League 2025-2026</t>
  </si>
  <si>
    <t>Whatsapp</t>
  </si>
  <si>
    <t>Telegram</t>
  </si>
  <si>
    <t>Mail</t>
  </si>
  <si>
    <t>in</t>
  </si>
  <si>
    <t xml:space="preserve"> </t>
  </si>
  <si>
    <t>Fixture</t>
  </si>
  <si>
    <t>Select timetable</t>
  </si>
  <si>
    <t>Selecciona horario</t>
  </si>
  <si>
    <t>Selecciona idioma</t>
  </si>
  <si>
    <t>Select languaje</t>
  </si>
  <si>
    <t>https://matejero.es/download/administrador-excel-mundial-2026/</t>
  </si>
  <si>
    <t>https://matejero.com/download/admin-world-cup-2026/</t>
  </si>
  <si>
    <t>Cuadro de honor</t>
  </si>
  <si>
    <t>Honor box</t>
  </si>
  <si>
    <t>Donate</t>
  </si>
  <si>
    <t>Donar</t>
  </si>
  <si>
    <t>Help</t>
  </si>
  <si>
    <t>Admin Excel World Cup 2026</t>
  </si>
  <si>
    <t>matejero.es</t>
  </si>
  <si>
    <t>matejero.com</t>
  </si>
  <si>
    <t>▼ Descargar Excel Administrador Porra ▼</t>
  </si>
  <si>
    <t>▼ Download Administrator Excel File ▼</t>
  </si>
  <si>
    <t>Escribe tu nombre</t>
  </si>
  <si>
    <t>Write your name</t>
  </si>
  <si>
    <t>© Miguel Angel Tejero. 2026</t>
  </si>
  <si>
    <t>Guarda el archivo y envialo al administrador de tu porra</t>
  </si>
  <si>
    <t>Uruguay</t>
  </si>
  <si>
    <t>Paraguay</t>
  </si>
  <si>
    <t>Colombia</t>
  </si>
  <si>
    <t>Marruecos</t>
  </si>
  <si>
    <t>Túnez</t>
  </si>
  <si>
    <t>🇺🇾</t>
  </si>
  <si>
    <t>🇵🇾</t>
  </si>
  <si>
    <t>🇨🇴</t>
  </si>
  <si>
    <t>Morocco</t>
  </si>
  <si>
    <t>🇲🇦</t>
  </si>
  <si>
    <t>Tunisia</t>
  </si>
  <si>
    <t>🇹🇳</t>
  </si>
  <si>
    <t xml:space="preserve">Best 3-placed groups: </t>
  </si>
  <si>
    <t xml:space="preserve">Grupos mejores 3ºs: </t>
  </si>
  <si>
    <t>Share:</t>
  </si>
  <si>
    <t>Original: matejero.es</t>
  </si>
  <si>
    <t>Instrucciones en video</t>
  </si>
  <si>
    <t>Video►Tutorial</t>
  </si>
  <si>
    <t>Si quieres organizar una porra (quiniela) con tu grupo puedes descargar el archivo de adminsitrador desde el enlace de abajo</t>
  </si>
  <si>
    <t>If you want to organize a pool (betting game) with your group, you can download the administrator file from the link below.</t>
  </si>
  <si>
    <t>3º</t>
  </si>
  <si>
    <t>2º</t>
  </si>
  <si>
    <t>1º</t>
  </si>
  <si>
    <t>Se usa en desempates el num</t>
  </si>
  <si>
    <t>Horarios!$P$3</t>
  </si>
  <si>
    <t>Bandera</t>
  </si>
  <si>
    <t>·Para la segunda jornada copiar de la C30 a la C53 y pega valores en la plantilla de administrador.</t>
  </si>
  <si>
    <t>·Para la tercera jornada copiar de la C54 a la C161 y pega valores en la plantilla de administrador.</t>
  </si>
  <si>
    <t>·For the 2nd Round copy from C30 to C53 an paste as values in the Administrator Pool.</t>
  </si>
  <si>
    <t>·For the 3rd Round copy from C54 to C161 an paste as values in the Administrator Pool.</t>
  </si>
  <si>
    <t>·If you play the KO rounds at once copy from C164 to C252 and paste in the Administrator template.</t>
  </si>
  <si>
    <t>·Para los dieciseisavos copiar de la C164 a la C197 y pega valores en la plantilla de administrador.</t>
  </si>
  <si>
    <t>·Para los octavos de final copiar de la C200 a la C217 y pega valores en la plantilla de administrador.</t>
  </si>
  <si>
    <t>·Para los cuartos de final copiar de la C220 a la C229 y pega valores en la plantilla de administrador.</t>
  </si>
  <si>
    <t>·Para las semifinales copiar de la C232 a la C241 y pega valores en la plantilla de administrador.</t>
  </si>
  <si>
    <t>·Para el 3º y 4º puesto y la Final copiar de la C244 a la C252 y pega valores en la plantilla de administrador.</t>
  </si>
  <si>
    <t>·Si en tu grupo no vais a usar el predictor, puedes dejarlo sin rellenar</t>
  </si>
  <si>
    <t>·If you are not going to use the predictor in your group, you can leave it unfilled</t>
  </si>
  <si>
    <t>Option</t>
  </si>
  <si>
    <t>La clasificación de los mejores terceros aparece al final de la J1</t>
  </si>
  <si>
    <t>The ranking of the best third places appears at the end of J1</t>
  </si>
  <si>
    <t>TO DOWNLOAD, CLICK ON</t>
  </si>
  <si>
    <t>PARA DESCARGAR, CLICK EN</t>
  </si>
  <si>
    <t>File</t>
  </si>
  <si>
    <t>Arabia Saudita</t>
  </si>
  <si>
    <t>Saudi Arabia</t>
  </si>
  <si>
    <t>🇸🇦</t>
  </si>
  <si>
    <t>Argelia</t>
  </si>
  <si>
    <t>Algeria</t>
  </si>
  <si>
    <t>🇩🇿</t>
  </si>
  <si>
    <t>Cabo Verde</t>
  </si>
  <si>
    <t>Cape Verde</t>
  </si>
  <si>
    <t>🇨🇻</t>
  </si>
  <si>
    <t>Catar</t>
  </si>
  <si>
    <t>Qatar</t>
  </si>
  <si>
    <t>🇶🇦</t>
  </si>
  <si>
    <t>Costa de Marfil</t>
  </si>
  <si>
    <t>Ivory Coast</t>
  </si>
  <si>
    <t>🇨🇮</t>
  </si>
  <si>
    <t>Egipto</t>
  </si>
  <si>
    <t>Egypt</t>
  </si>
  <si>
    <t>🇪🇬</t>
  </si>
  <si>
    <t>Ghana</t>
  </si>
  <si>
    <t>🇬🇭</t>
  </si>
  <si>
    <t>Senegal</t>
  </si>
  <si>
    <t>🇸🇳</t>
  </si>
  <si>
    <t>Sudáfrica</t>
  </si>
  <si>
    <t>South Africa</t>
  </si>
  <si>
    <t>🇿🇦</t>
  </si>
  <si>
    <t>Panamá</t>
  </si>
  <si>
    <t>Haití</t>
  </si>
  <si>
    <t>Curazao</t>
  </si>
  <si>
    <t>Panama</t>
  </si>
  <si>
    <t>🇵🇦</t>
  </si>
  <si>
    <t>Haiti</t>
  </si>
  <si>
    <t>🇭🇹</t>
  </si>
  <si>
    <t>Curaçao</t>
  </si>
  <si>
    <t>🇨🇼</t>
  </si>
  <si>
    <t xml:space="preserve">·If you play the whole tournament at once de golpe select from C5 to C258 and paste in the Administrator template.			</t>
  </si>
  <si>
    <t>·Si haceis toda la fase de grupos de golpe y las eliminatorias aparte, copiar primero de la C5 a la C161 y pegar valores en la plantilla de Administrador. Y también copiar y pegar valores de la C253 a la C258. En dieciseisavos seguir las instrucciones de abajo.</t>
  </si>
  <si>
    <t>·If you play the whole Group Stage at the begining and later the KO rounds select from C5 to C161 and paste in the Administrator template. Also copy and paste values form C253 to C258. For the round of 32 follow the instructions.</t>
  </si>
  <si>
    <t>·Para la primera jornada copiar de la C5 a la C29 y pega valores en la plantilla de administrador. ¡OJO! COPIAR TAMBIÉN de la C253 a la C258.</t>
  </si>
  <si>
    <t>·For the 1st Round copy from C5 to C29 an paste as values in the Administrator Pool. CAUTION. Also copy and paste values form C253 to C258.</t>
  </si>
  <si>
    <t>·Al inicio de la competición si se hace por fases copiar de la C253 a la C258 y pegarla al final del jugador en el archivo de administrador.</t>
  </si>
  <si>
    <t>·At the beginning of the competition, if it is done in phases, copy from C253 to C258 and paste it at the end of the player in the administrator file.</t>
  </si>
  <si>
    <t>·Copiar de la C261 a la C258 y pegar valores en el administrador donde el Predictor</t>
  </si>
  <si>
    <t>·Copy from C261 to C258 and paste it in the administrator template in "Paste Values Predictor"</t>
  </si>
  <si>
    <t>· Selecciona el idioma y la zona horaria</t>
  </si>
  <si>
    <t>· Si vas a participar en una porra escribe tu nombre</t>
  </si>
  <si>
    <t>· Si vas a organizar una porra, puedes descargar el archivo excel de administración desde aquí</t>
  </si>
  <si>
    <t>· Rellena los cuadros grises con los resultados de la fase de grupos para cada grupo</t>
  </si>
  <si>
    <t>· En caso de empate en la posición de un grupo o en los mejores terceros, puedes seleccionar el orden de los empatados</t>
  </si>
  <si>
    <t>· Las eliminatorias se establecen de forma automática</t>
  </si>
  <si>
    <t>· Rellena los resultados de las fases eliminatorias. En caso de empate, se abren dos celdas a los lados para poner el resultado de los penaltis</t>
  </si>
  <si>
    <t>· Si vas a participar en una porra, rellenar los mejores jugadores y los máximos goleadores</t>
  </si>
  <si>
    <t>· Esta hoja es independiente a los resultados introducidos en la hoja WORLDCUP y su uso es opcional</t>
  </si>
  <si>
    <t>· Las instrucciones de uso de esta hoja se encuentran en la misma hoja</t>
  </si>
  <si>
    <t>· En esta hoja no hay que escribir nada</t>
  </si>
  <si>
    <t>· Sirve para que el organizador de la porra, copie estos resultados y los pegue en el archivo de administrador</t>
  </si>
  <si>
    <t>· Select the language and time zone</t>
  </si>
  <si>
    <t>· If you are going to organize a pool, you can download the administration excel file from here</t>
  </si>
  <si>
    <t>· If you are going to participate in a pool/sweepstake, write your name</t>
  </si>
  <si>
    <t>· Fill in the grey boxes with the group stage results for each group</t>
  </si>
  <si>
    <t>· In case of a tie in the position of a group or in the best third-placed teams, you can select the order of the drawed nations</t>
  </si>
  <si>
    <t>· Playoffs are set automatically</t>
  </si>
  <si>
    <t>· Fill in the results of the knockout stages. In the event of a tie, two cells are opened on the sides to introduce the result of the penalties</t>
  </si>
  <si>
    <t>· If you're going to participate in a pool/sweepstake, fill in the best players and top scorers</t>
  </si>
  <si>
    <t>· This sheet is independent of the results entered in the WORLDCUP sheet and its use is optional</t>
  </si>
  <si>
    <t>· The instructions for use of this sheet are on the same sheet</t>
  </si>
  <si>
    <t>· On this sheet you don't have to write anything</t>
  </si>
  <si>
    <t>· It is used for the organizer of the sweepstakes to copy these results and paste them into the administrator file</t>
  </si>
  <si>
    <t>· This sheet shows a view of all the results entered in the WORLDCUP sheet, nothing is filled in on this sheet.</t>
  </si>
  <si>
    <t>*Versión provisional hasta que se conozcan todos los participantes en marzo 2026</t>
  </si>
  <si>
    <t>*Beta version until all participants are known in March 2026</t>
  </si>
  <si>
    <t>¿Hay equipos penalizados?</t>
  </si>
  <si>
    <t>Are there penalized teams?</t>
  </si>
  <si>
    <t>LOOSERS</t>
  </si>
  <si>
    <t>· En esta hoja se muestran de un vistazo todos los resultados introducidos en la hoja WORLDCUP, en esta hoja no se rellena nada.</t>
  </si>
  <si>
    <t>List</t>
  </si>
  <si>
    <t>Este archivo está disponible sin garantía. El autor no es responsable del daño, inexactitud de los datos o pérdidas de ningún tipo causadas por el uso o mal uso del archivo. El uso de este archivo será bajo responsabilidad del usuario. No se facilitarán las contraseñas del archivo (tampoco se responderán a las solicitudes de las mismas). El archivo no contiene macros.  Se recomienda escanear el archivo descargado con algún antivirus de reputación. El archivo no se debe editar salvo en los lugares establecidos para ello (introducir los resultados, nombres). Las formulas, la protección y la estructura no debe ser modificada ya que el archivo puede dejar de funcionar. El archivo no puede ser revendido a terceros y es de uso exclusivo para el usuario.</t>
  </si>
  <si>
    <t>This file is available without guarantee. The author is not responsible for the damage, inaccuracy of the data or losses of any kind caused by the use or misuse of the file. The use of this file will be the responsibility of the user. File passwords will not be provided (and we don't answer to requests for them). The file doesn't contain macros. It's recommended to scan the downloaded file with a reputable antivirus. The file should not be edited except in the places established for it (enter the results, the names). The formulas, protection and structure must not be modified. The file cannot be resold to third parties and is for the exclusive use of the user.</t>
  </si>
  <si>
    <t>Por orden de partido</t>
  </si>
  <si>
    <t>Por orden de fecha</t>
  </si>
  <si>
    <t>1 al 48 (A 1 al 4, B: 5 al 8….</t>
  </si>
  <si>
    <t>Org</t>
  </si>
  <si>
    <t>ESP</t>
  </si>
  <si>
    <t>ENG</t>
  </si>
  <si>
    <t>Irak</t>
  </si>
  <si>
    <t>Iraq</t>
  </si>
  <si>
    <t>🇮🇶</t>
  </si>
  <si>
    <t>Emiratos Árabes Unidos</t>
  </si>
  <si>
    <t>United Arab Emirates</t>
  </si>
  <si>
    <t>🇦🇪</t>
  </si>
  <si>
    <t>Bolivia</t>
  </si>
  <si>
    <t>Surinam</t>
  </si>
  <si>
    <t>🇧🇴</t>
  </si>
  <si>
    <t>🇸🇷</t>
  </si>
  <si>
    <t>Suriname</t>
  </si>
  <si>
    <t>Select Nation</t>
  </si>
  <si>
    <t>Emoji (mac)</t>
  </si>
  <si>
    <t>Flag image (Windows)</t>
  </si>
  <si>
    <t>Time (UTC)</t>
  </si>
  <si>
    <t>Otro/Other</t>
  </si>
  <si>
    <t>ID</t>
  </si>
  <si>
    <t>Irán/Iran</t>
  </si>
  <si>
    <t>Emiratos Árabes Unidos/United Arab Emirates</t>
  </si>
  <si>
    <t>Bolivia/Bolivia</t>
  </si>
  <si>
    <t>Surinam/Suriname</t>
  </si>
  <si>
    <t>Flag emoji (mac)</t>
  </si>
  <si>
    <t>Write the nation</t>
  </si>
  <si>
    <t>Si Irán no participa en el mundial y le sustituye otra selección, selecciona el país sustituto en el desplegable. Si no aparece, elige 'Otro/Other' e ingresa manualmente el nombre (español e inglés), su zona UTC y, opcionalmente, la imagen de su bandera.</t>
  </si>
  <si>
    <t>If Iran doesn't participate in the World Cup and is replaced by another team, select the substitute nation from the dropdown menu. If it doesn't appear, choose 'Otro/Other' and manually enter the name (Spanish and English), its UTC zone and, optionally, its flag image.</t>
  </si>
  <si>
    <t>Normal</t>
  </si>
  <si>
    <t>No cuenta el partido contra el último</t>
  </si>
  <si>
    <t>Media por partido</t>
  </si>
  <si>
    <t>1; normal 2; sin ultimo clas, 3, media total</t>
  </si>
  <si>
    <t>Matches against the bottom team are excluded.</t>
  </si>
  <si>
    <t>Average per match</t>
  </si>
  <si>
    <t>Selecciona criterio:</t>
  </si>
  <si>
    <t>Select criteria:</t>
  </si>
  <si>
    <t>Select Time (UTC)</t>
  </si>
  <si>
    <t>Participa</t>
  </si>
  <si>
    <t>Pos0</t>
  </si>
  <si>
    <t>Empate0</t>
  </si>
  <si>
    <t>Grupos: bombo; terceros: orden alfa</t>
  </si>
  <si>
    <t>Suecia</t>
  </si>
  <si>
    <t>Sweden</t>
  </si>
  <si>
    <t>🇸🇪</t>
  </si>
  <si>
    <t>Turquía</t>
  </si>
  <si>
    <t>Turkey</t>
  </si>
  <si>
    <t>🇹🇷</t>
  </si>
  <si>
    <t>Bosnia y Herzegovina</t>
  </si>
  <si>
    <t>Bosnia and Herzegovina</t>
  </si>
  <si>
    <t>🇧🇦</t>
  </si>
  <si>
    <t>República Checa</t>
  </si>
  <si>
    <t>Czech Republic</t>
  </si>
  <si>
    <t>🇨🇿</t>
  </si>
  <si>
    <t>RD Congo</t>
  </si>
  <si>
    <t>DR Congo</t>
  </si>
  <si>
    <t>🇨🇩</t>
  </si>
  <si>
    <t>Escribe el país</t>
  </si>
  <si>
    <r>
      <t xml:space="preserve">·Si haceis todo el Mundial de golpe, copiar de la </t>
    </r>
    <r>
      <rPr>
        <b/>
        <sz val="11"/>
        <color theme="0"/>
        <rFont val="Calibri"/>
        <family val="2"/>
        <scheme val="minor"/>
      </rPr>
      <t xml:space="preserve">C5 a la C258 </t>
    </r>
    <r>
      <rPr>
        <sz val="11"/>
        <color theme="0"/>
        <rFont val="Calibri"/>
        <family val="2"/>
        <scheme val="minor"/>
      </rPr>
      <t>y pegar valores en la plantilla de Administrador.</t>
    </r>
  </si>
  <si>
    <t>Bronze ball (3rd Best Player)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</si>
</sst>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
    <numFmt numFmtId="165" formatCode="&quot;&quot;;"/>
  </numFmts>
  <fonts count="99" x14ac:knownFonts="1">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sz val="11"/>
      <color theme="3"/>
      <name val="Calibri"/>
      <family val="2"/>
      <scheme val="minor"/>
    </font>
    <font>
      <u/>
      <sz val="11"/>
      <color theme="10"/>
      <name val="Calibri"/>
      <family val="2"/>
      <scheme val="minor"/>
    </font>
    <font>
      <u/>
      <sz val="11"/>
      <color theme="11"/>
      <name val="Calibri"/>
      <family val="2"/>
      <scheme val="minor"/>
    </font>
    <font>
      <sz val="11"/>
      <color theme="0"/>
      <name val="Calibri"/>
      <family val="2"/>
      <scheme val="minor"/>
    </font>
    <font>
      <b/>
      <sz val="11"/>
      <color theme="0"/>
      <name val="Calibri"/>
      <family val="2"/>
      <scheme val="minor"/>
    </font>
    <font>
      <b/>
      <sz val="11"/>
      <name val="Calibri"/>
      <family val="2"/>
      <scheme val="minor"/>
    </font>
    <font>
      <b/>
      <sz val="10"/>
      <name val="Calibri"/>
      <family val="2"/>
      <scheme val="minor"/>
    </font>
    <font>
      <sz val="11"/>
      <name val="Calibri"/>
      <family val="2"/>
      <scheme val="minor"/>
    </font>
    <font>
      <b/>
      <sz val="24"/>
      <color theme="0"/>
      <name val="Calibri"/>
      <family val="2"/>
      <scheme val="minor"/>
    </font>
    <font>
      <sz val="8"/>
      <name val="Calibri"/>
      <family val="2"/>
      <scheme val="minor"/>
    </font>
    <font>
      <sz val="8"/>
      <color theme="0"/>
      <name val="Calibri"/>
      <family val="2"/>
      <scheme val="minor"/>
    </font>
    <font>
      <b/>
      <sz val="8"/>
      <color theme="1"/>
      <name val="Calibri"/>
      <family val="2"/>
      <scheme val="minor"/>
    </font>
    <font>
      <b/>
      <sz val="10"/>
      <color theme="0"/>
      <name val="Calibri"/>
      <family val="2"/>
      <scheme val="minor"/>
    </font>
    <font>
      <b/>
      <sz val="36"/>
      <color theme="0"/>
      <name val="Calibri"/>
      <family val="2"/>
      <scheme val="minor"/>
    </font>
    <font>
      <b/>
      <sz val="8"/>
      <color theme="0"/>
      <name val="Calibri"/>
      <family val="2"/>
      <scheme val="minor"/>
    </font>
    <font>
      <b/>
      <sz val="11"/>
      <color rgb="FF0056A3"/>
      <name val="Calibri"/>
      <family val="2"/>
      <scheme val="minor"/>
    </font>
    <font>
      <sz val="8"/>
      <color rgb="FF0056A3"/>
      <name val="Calibri"/>
      <family val="2"/>
      <scheme val="minor"/>
    </font>
    <font>
      <b/>
      <sz val="10"/>
      <color rgb="FF0056A3"/>
      <name val="Calibri"/>
      <family val="2"/>
      <scheme val="minor"/>
    </font>
    <font>
      <b/>
      <sz val="14"/>
      <color theme="0"/>
      <name val="Calibri"/>
      <family val="2"/>
      <scheme val="minor"/>
    </font>
    <font>
      <sz val="11"/>
      <color theme="1"/>
      <name val="Calibri"/>
      <family val="2"/>
      <scheme val="minor"/>
    </font>
    <font>
      <b/>
      <sz val="11"/>
      <color rgb="FF0056A4"/>
      <name val="Calibri"/>
      <family val="2"/>
      <scheme val="minor"/>
    </font>
    <font>
      <b/>
      <sz val="15"/>
      <color theme="1"/>
      <name val="Calibri"/>
      <family val="2"/>
      <scheme val="minor"/>
    </font>
    <font>
      <sz val="16"/>
      <color theme="0"/>
      <name val="Calibri"/>
      <family val="2"/>
      <scheme val="minor"/>
    </font>
    <font>
      <sz val="10"/>
      <name val="Calibri"/>
      <family val="2"/>
      <scheme val="minor"/>
    </font>
    <font>
      <b/>
      <sz val="11"/>
      <color theme="1" tint="0.249977111117893"/>
      <name val="Calibri"/>
      <family val="2"/>
      <scheme val="minor"/>
    </font>
    <font>
      <sz val="11"/>
      <color theme="1" tint="0.249977111117893"/>
      <name val="Calibri"/>
      <family val="2"/>
      <scheme val="minor"/>
    </font>
    <font>
      <b/>
      <sz val="10"/>
      <color theme="1" tint="0.249977111117893"/>
      <name val="Calibri"/>
      <family val="2"/>
      <scheme val="minor"/>
    </font>
    <font>
      <sz val="8"/>
      <color theme="1" tint="0.249977111117893"/>
      <name val="Calibri"/>
      <family val="2"/>
      <scheme val="minor"/>
    </font>
    <font>
      <b/>
      <sz val="18"/>
      <color theme="0"/>
      <name val="Calibri"/>
      <family val="2"/>
      <scheme val="minor"/>
    </font>
    <font>
      <b/>
      <sz val="20"/>
      <color theme="0"/>
      <name val="Calibri"/>
      <family val="2"/>
      <scheme val="minor"/>
    </font>
    <font>
      <b/>
      <sz val="16"/>
      <color theme="0"/>
      <name val="Calibri"/>
      <family val="2"/>
      <scheme val="minor"/>
    </font>
    <font>
      <sz val="10"/>
      <color theme="0"/>
      <name val="Calibri"/>
      <family val="2"/>
      <scheme val="minor"/>
    </font>
    <font>
      <sz val="11"/>
      <color theme="1"/>
      <name val="Arial"/>
      <family val="2"/>
    </font>
    <font>
      <u/>
      <sz val="11"/>
      <color theme="10"/>
      <name val="Arial"/>
      <family val="2"/>
    </font>
    <font>
      <sz val="14"/>
      <color theme="1" tint="0.249977111117893"/>
      <name val="Arial"/>
      <family val="2"/>
    </font>
    <font>
      <sz val="11"/>
      <color theme="0" tint="-0.34998626667073579"/>
      <name val="Arial"/>
      <family val="2"/>
    </font>
    <font>
      <sz val="11"/>
      <name val="Arial"/>
      <family val="2"/>
    </font>
    <font>
      <sz val="12"/>
      <name val="Arial"/>
      <family val="2"/>
    </font>
    <font>
      <sz val="11"/>
      <color theme="0"/>
      <name val="Arial"/>
      <family val="2"/>
    </font>
    <font>
      <b/>
      <sz val="12"/>
      <color theme="0"/>
      <name val="Arial"/>
      <family val="2"/>
    </font>
    <font>
      <sz val="11"/>
      <color rgb="FF828081"/>
      <name val="Arial"/>
      <family val="2"/>
    </font>
    <font>
      <b/>
      <sz val="16"/>
      <color rgb="FFFFFFFF"/>
      <name val="Arial"/>
      <family val="2"/>
    </font>
    <font>
      <sz val="11"/>
      <color rgb="FF1B4066"/>
      <name val="Arial"/>
      <family val="2"/>
    </font>
    <font>
      <sz val="14"/>
      <color rgb="FF1B4066"/>
      <name val="Arial"/>
      <family val="2"/>
    </font>
    <font>
      <sz val="10"/>
      <color rgb="FF1B4066"/>
      <name val="Calibri"/>
      <family val="2"/>
      <scheme val="minor"/>
    </font>
    <font>
      <sz val="11"/>
      <color rgb="FF1B4066"/>
      <name val="Calibri"/>
      <family val="2"/>
      <scheme val="minor"/>
    </font>
    <font>
      <b/>
      <sz val="11"/>
      <color rgb="FF1B4066"/>
      <name val="Calibri"/>
      <family val="2"/>
      <scheme val="minor"/>
    </font>
    <font>
      <b/>
      <sz val="11"/>
      <color rgb="FF1B4066"/>
      <name val="Cambria"/>
      <family val="1"/>
      <scheme val="major"/>
    </font>
    <font>
      <b/>
      <sz val="20"/>
      <color rgb="FF133461"/>
      <name val="Cambria"/>
      <family val="1"/>
      <scheme val="major"/>
    </font>
    <font>
      <sz val="10"/>
      <color rgb="FF828081"/>
      <name val="Arial"/>
      <family val="2"/>
    </font>
    <font>
      <b/>
      <sz val="11"/>
      <color theme="1" tint="0.249977111117893"/>
      <name val="Cambria"/>
      <family val="1"/>
      <scheme val="major"/>
    </font>
    <font>
      <b/>
      <sz val="10"/>
      <color rgb="FF1B4066"/>
      <name val="Cambria"/>
      <family val="1"/>
      <scheme val="major"/>
    </font>
    <font>
      <b/>
      <sz val="11"/>
      <color theme="0"/>
      <name val="Cambria"/>
      <family val="1"/>
      <scheme val="major"/>
    </font>
    <font>
      <b/>
      <sz val="11"/>
      <color rgb="FFEEEEEE"/>
      <name val="Calibri"/>
      <family val="2"/>
      <scheme val="minor"/>
    </font>
    <font>
      <sz val="11"/>
      <color rgb="FFEEEEEE"/>
      <name val="Calibri"/>
      <family val="2"/>
      <scheme val="minor"/>
    </font>
    <font>
      <b/>
      <sz val="10"/>
      <color rgb="FFEEEEEE"/>
      <name val="Calibri"/>
      <family val="2"/>
      <scheme val="minor"/>
    </font>
    <font>
      <sz val="8"/>
      <color rgb="FFEEEEEE"/>
      <name val="Calibri"/>
      <family val="2"/>
      <scheme val="minor"/>
    </font>
    <font>
      <sz val="10"/>
      <color rgb="FFEEEEEE"/>
      <name val="Calibri"/>
      <family val="2"/>
      <scheme val="minor"/>
    </font>
    <font>
      <u/>
      <sz val="11"/>
      <color rgb="FF1B4066"/>
      <name val="Calibri"/>
      <family val="2"/>
      <scheme val="minor"/>
    </font>
    <font>
      <sz val="10"/>
      <color theme="1" tint="0.249977111117893"/>
      <name val="Calibri"/>
      <family val="2"/>
      <scheme val="minor"/>
    </font>
    <font>
      <sz val="11"/>
      <color rgb="FF003087"/>
      <name val="Arial"/>
      <family val="2"/>
    </font>
    <font>
      <sz val="11"/>
      <color theme="3"/>
      <name val="Calibri"/>
      <family val="2"/>
      <scheme val="minor"/>
    </font>
    <font>
      <sz val="8"/>
      <color rgb="FF1B4066"/>
      <name val="Calibri"/>
      <family val="2"/>
      <scheme val="minor"/>
    </font>
    <font>
      <sz val="14"/>
      <color rgb="FFFF0000"/>
      <name val="Arial"/>
      <family val="2"/>
    </font>
    <font>
      <sz val="20"/>
      <color rgb="FFFF0000"/>
      <name val="Arial"/>
      <family val="2"/>
    </font>
    <font>
      <sz val="26"/>
      <color rgb="FFFF0000"/>
      <name val="Arial"/>
      <family val="2"/>
    </font>
    <font>
      <sz val="48"/>
      <color rgb="FFFF0000"/>
      <name val="Arial"/>
      <family val="2"/>
    </font>
    <font>
      <b/>
      <sz val="10"/>
      <color rgb="FF003087"/>
      <name val="Verdana"/>
      <family val="2"/>
    </font>
    <font>
      <sz val="12"/>
      <color rgb="FFFF0000"/>
      <name val="Arial"/>
      <family val="2"/>
    </font>
    <font>
      <sz val="14"/>
      <color rgb="FFEEEEEE"/>
      <name val="Arial"/>
      <family val="2"/>
    </font>
    <font>
      <u/>
      <sz val="11"/>
      <color theme="1"/>
      <name val="Arial"/>
      <family val="2"/>
    </font>
    <font>
      <b/>
      <sz val="8"/>
      <color theme="0"/>
      <name val="Arial"/>
      <family val="2"/>
    </font>
    <font>
      <b/>
      <sz val="14"/>
      <color theme="0"/>
      <name val="Arial"/>
      <family val="2"/>
    </font>
    <font>
      <b/>
      <sz val="11"/>
      <color rgb="FF58B771"/>
      <name val="Calibri"/>
      <family val="2"/>
      <scheme val="minor"/>
    </font>
    <font>
      <b/>
      <sz val="26"/>
      <color rgb="FF133461"/>
      <name val="Cambria"/>
      <family val="1"/>
      <scheme val="major"/>
    </font>
    <font>
      <b/>
      <sz val="15"/>
      <color rgb="FF1B4066"/>
      <name val="Cambria"/>
      <family val="1"/>
      <scheme val="major"/>
    </font>
    <font>
      <b/>
      <sz val="14"/>
      <color rgb="FF1B4066"/>
      <name val="Cambria"/>
      <family val="1"/>
      <scheme val="major"/>
    </font>
    <font>
      <sz val="14"/>
      <color rgb="FFEEEEEE"/>
      <name val="Calibri"/>
      <family val="2"/>
      <scheme val="minor"/>
    </font>
    <font>
      <sz val="8"/>
      <color theme="1"/>
      <name val="Calibri"/>
      <family val="2"/>
      <scheme val="minor"/>
    </font>
    <font>
      <b/>
      <sz val="8"/>
      <color rgb="FFEEEEEE"/>
      <name val="Calibri"/>
      <family val="2"/>
      <scheme val="minor"/>
    </font>
    <font>
      <b/>
      <sz val="36"/>
      <color rgb="FF1B4066"/>
      <name val="Calibri"/>
      <family val="2"/>
      <scheme val="minor"/>
    </font>
    <font>
      <b/>
      <sz val="14"/>
      <color rgb="FF1B4066"/>
      <name val="Calibri"/>
      <family val="2"/>
      <scheme val="minor"/>
    </font>
    <font>
      <b/>
      <sz val="20"/>
      <color rgb="FF1B4066"/>
      <name val="Calibri"/>
      <family val="2"/>
      <scheme val="minor"/>
    </font>
    <font>
      <b/>
      <sz val="16"/>
      <color rgb="FF1B4066"/>
      <name val="Calibri"/>
      <family val="2"/>
      <scheme val="minor"/>
    </font>
    <font>
      <sz val="14"/>
      <color rgb="FF1B4066"/>
      <name val="Calibri"/>
      <family val="2"/>
      <scheme val="minor"/>
    </font>
    <font>
      <sz val="12"/>
      <color rgb="FF1B4066"/>
      <name val="Calibri"/>
      <family val="2"/>
      <scheme val="minor"/>
    </font>
    <font>
      <b/>
      <sz val="15"/>
      <color rgb="FF1B4066"/>
      <name val="Calibri"/>
      <family val="2"/>
      <scheme val="minor"/>
    </font>
    <font>
      <b/>
      <sz val="64"/>
      <color rgb="FF1B4066"/>
      <name val="Calibri"/>
      <family val="2"/>
      <scheme val="minor"/>
    </font>
    <font>
      <sz val="10"/>
      <color rgb="FF1B4066"/>
      <name val="Arial"/>
      <family val="2"/>
    </font>
    <font>
      <b/>
      <sz val="8"/>
      <color rgb="FF002060"/>
      <name val="Calibri"/>
      <family val="2"/>
      <scheme val="minor"/>
    </font>
    <font>
      <b/>
      <sz val="15"/>
      <color rgb="FFFF0000"/>
      <name val="Cambria"/>
      <family val="1"/>
      <scheme val="major"/>
    </font>
    <font>
      <sz val="11"/>
      <name val="Calibri (Cuerpo)"/>
    </font>
    <font>
      <sz val="12"/>
      <color theme="0"/>
      <name val="Calibri"/>
      <family val="2"/>
      <scheme val="minor"/>
    </font>
    <font>
      <sz val="11"/>
      <color theme="0"/>
      <name val="Calibri (Cuerpo)"/>
    </font>
    <font>
      <sz val="12"/>
      <color theme="0"/>
      <name val="Calibri"/>
      <family val="2"/>
    </font>
  </fonts>
  <fills count="4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BE56"/>
        <bgColor indexed="64"/>
      </patternFill>
    </fill>
    <fill>
      <patternFill patternType="solid">
        <fgColor rgb="FFB37836"/>
        <bgColor indexed="64"/>
      </patternFill>
    </fill>
    <fill>
      <patternFill patternType="solid">
        <fgColor theme="6" tint="0.39997558519241921"/>
        <bgColor indexed="64"/>
      </patternFill>
    </fill>
    <fill>
      <patternFill patternType="solid">
        <fgColor rgb="FF92D050"/>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C3BC96"/>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8BB69"/>
        <bgColor indexed="64"/>
      </patternFill>
    </fill>
    <fill>
      <patternFill patternType="solid">
        <fgColor rgb="FFF1E96B"/>
        <bgColor indexed="64"/>
      </patternFill>
    </fill>
    <fill>
      <patternFill patternType="solid">
        <fgColor rgb="FFE50009"/>
        <bgColor indexed="64"/>
      </patternFill>
    </fill>
    <fill>
      <patternFill patternType="solid">
        <fgColor rgb="FF2E5DA6"/>
        <bgColor indexed="64"/>
      </patternFill>
    </fill>
    <fill>
      <patternFill patternType="solid">
        <fgColor rgb="FFF27C0F"/>
        <bgColor indexed="64"/>
      </patternFill>
    </fill>
    <fill>
      <patternFill patternType="solid">
        <fgColor rgb="FF00684E"/>
        <bgColor indexed="64"/>
      </patternFill>
    </fill>
    <fill>
      <patternFill patternType="solid">
        <fgColor rgb="FFB9AFD2"/>
        <bgColor indexed="64"/>
      </patternFill>
    </fill>
    <fill>
      <patternFill patternType="solid">
        <fgColor rgb="FF6DBBB7"/>
        <bgColor indexed="64"/>
      </patternFill>
    </fill>
    <fill>
      <patternFill patternType="solid">
        <fgColor rgb="FF532C92"/>
        <bgColor indexed="64"/>
      </patternFill>
    </fill>
    <fill>
      <patternFill patternType="solid">
        <fgColor rgb="FFF6AB9E"/>
        <bgColor indexed="64"/>
      </patternFill>
    </fill>
    <fill>
      <patternFill patternType="solid">
        <fgColor rgb="FFEA3270"/>
        <bgColor indexed="64"/>
      </patternFill>
    </fill>
    <fill>
      <patternFill patternType="solid">
        <fgColor rgb="FF860020"/>
        <bgColor indexed="64"/>
      </patternFill>
    </fill>
    <fill>
      <patternFill patternType="solid">
        <fgColor rgb="FFEFB810"/>
        <bgColor indexed="64"/>
      </patternFill>
    </fill>
    <fill>
      <patternFill patternType="solid">
        <fgColor rgb="FFC0C0C0"/>
        <bgColor indexed="64"/>
      </patternFill>
    </fill>
    <fill>
      <patternFill patternType="solid">
        <fgColor rgb="FFCD7F32"/>
        <bgColor indexed="64"/>
      </patternFill>
    </fill>
    <fill>
      <patternFill patternType="solid">
        <fgColor rgb="FFE7E6E6"/>
        <bgColor indexed="64"/>
      </patternFill>
    </fill>
    <fill>
      <patternFill patternType="solid">
        <fgColor rgb="FFBFBFBF"/>
        <bgColor indexed="64"/>
      </patternFill>
    </fill>
    <fill>
      <patternFill patternType="solid">
        <fgColor rgb="FFF2EB71"/>
        <bgColor indexed="64"/>
      </patternFill>
    </fill>
    <fill>
      <patternFill patternType="solid">
        <fgColor rgb="FFEE7701"/>
        <bgColor indexed="64"/>
      </patternFill>
    </fill>
    <fill>
      <patternFill patternType="solid">
        <fgColor rgb="FF65BBB0"/>
        <bgColor indexed="64"/>
      </patternFill>
    </fill>
    <fill>
      <patternFill patternType="solid">
        <fgColor rgb="FF0C9F14"/>
        <bgColor indexed="64"/>
      </patternFill>
    </fill>
    <fill>
      <patternFill patternType="solid">
        <fgColor rgb="FF33A9E8"/>
        <bgColor indexed="64"/>
      </patternFill>
    </fill>
    <fill>
      <patternFill patternType="solid">
        <fgColor rgb="FFE62125"/>
        <bgColor indexed="64"/>
      </patternFill>
    </fill>
    <fill>
      <patternFill patternType="solid">
        <fgColor theme="1"/>
        <bgColor indexed="64"/>
      </patternFill>
    </fill>
    <fill>
      <patternFill patternType="solid">
        <fgColor rgb="FF0077B5"/>
        <bgColor indexed="64"/>
      </patternFill>
    </fill>
    <fill>
      <patternFill patternType="solid">
        <fgColor rgb="FFEEEEEE"/>
        <bgColor indexed="64"/>
      </patternFill>
    </fill>
    <fill>
      <patternFill patternType="solid">
        <fgColor rgb="FF3E70A6"/>
        <bgColor indexed="64"/>
      </patternFill>
    </fill>
    <fill>
      <patternFill patternType="solid">
        <fgColor rgb="FFFF8800"/>
        <bgColor indexed="64"/>
      </patternFill>
    </fill>
    <fill>
      <patternFill patternType="solid">
        <fgColor rgb="FFFFC439"/>
        <bgColor indexed="64"/>
      </patternFill>
    </fill>
    <fill>
      <patternFill patternType="solid">
        <fgColor rgb="FFFFC7CE"/>
        <bgColor indexed="64"/>
      </patternFill>
    </fill>
    <fill>
      <patternFill patternType="solid">
        <fgColor theme="8" tint="0.59999389629810485"/>
        <bgColor indexed="64"/>
      </patternFill>
    </fill>
  </fills>
  <borders count="154">
    <border>
      <left/>
      <right/>
      <top/>
      <bottom/>
      <diagonal/>
    </border>
    <border>
      <left/>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top/>
      <bottom style="thin">
        <color theme="2" tint="-0.249977111117893"/>
      </bottom>
      <diagonal/>
    </border>
    <border>
      <left/>
      <right/>
      <top style="thin">
        <color theme="2" tint="-0.249977111117893"/>
      </top>
      <bottom/>
      <diagonal/>
    </border>
    <border diagonalDown="1">
      <left/>
      <right/>
      <top/>
      <bottom/>
      <diagonal style="thin">
        <color theme="2" tint="-0.249977111117893"/>
      </diagonal>
    </border>
    <border>
      <left/>
      <right style="thin">
        <color theme="2" tint="-0.249977111117893"/>
      </right>
      <top/>
      <bottom style="thin">
        <color theme="2" tint="-0.249977111117893"/>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thin">
        <color rgb="FFC3BC96"/>
      </bottom>
      <diagonal/>
    </border>
    <border>
      <left/>
      <right/>
      <top/>
      <bottom style="thin">
        <color rgb="FFCACACA"/>
      </bottom>
      <diagonal/>
    </border>
    <border>
      <left/>
      <right style="medium">
        <color rgb="FFA9A9A9"/>
      </right>
      <top/>
      <bottom style="medium">
        <color rgb="FFA9A9A9"/>
      </bottom>
      <diagonal/>
    </border>
    <border>
      <left/>
      <right style="medium">
        <color rgb="FFA9A9A9"/>
      </right>
      <top/>
      <bottom/>
      <diagonal/>
    </border>
    <border>
      <left style="medium">
        <color rgb="FFA9A9A9"/>
      </left>
      <right/>
      <top/>
      <bottom/>
      <diagonal/>
    </border>
    <border>
      <left style="medium">
        <color rgb="FFA9A9A9"/>
      </left>
      <right/>
      <top style="thin">
        <color rgb="FFCACACA"/>
      </top>
      <bottom/>
      <diagonal/>
    </border>
    <border>
      <left/>
      <right style="medium">
        <color rgb="FFA9A9A9"/>
      </right>
      <top style="thin">
        <color rgb="FFCACACA"/>
      </top>
      <bottom/>
      <diagonal/>
    </border>
    <border>
      <left style="medium">
        <color rgb="FFA9A9A9"/>
      </left>
      <right/>
      <top/>
      <bottom style="medium">
        <color rgb="FFA9A9A9"/>
      </bottom>
      <diagonal/>
    </border>
    <border>
      <left/>
      <right/>
      <top style="thin">
        <color rgb="FFCACACA"/>
      </top>
      <bottom/>
      <diagonal/>
    </border>
    <border>
      <left/>
      <right/>
      <top/>
      <bottom style="medium">
        <color rgb="FFA9A9A9"/>
      </bottom>
      <diagonal/>
    </border>
    <border>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thin">
        <color theme="0" tint="-0.249977111117893"/>
      </right>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medium">
        <color theme="0" tint="-0.249977111117893"/>
      </right>
      <top/>
      <bottom style="medium">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medium">
        <color theme="0" tint="-0.249977111117893"/>
      </bottom>
      <diagonal/>
    </border>
    <border>
      <left style="medium">
        <color theme="0" tint="-0.249977111117893"/>
      </left>
      <right/>
      <top/>
      <bottom style="thin">
        <color rgb="FFCACACA"/>
      </bottom>
      <diagonal/>
    </border>
    <border>
      <left/>
      <right style="medium">
        <color theme="0" tint="-0.249977111117893"/>
      </right>
      <top/>
      <bottom style="thin">
        <color rgb="FFCACACA"/>
      </bottom>
      <diagonal/>
    </border>
    <border>
      <left style="medium">
        <color theme="0" tint="-0.249977111117893"/>
      </left>
      <right/>
      <top style="thin">
        <color rgb="FFCACACA"/>
      </top>
      <bottom/>
      <diagonal/>
    </border>
    <border>
      <left/>
      <right style="medium">
        <color theme="0" tint="-0.249977111117893"/>
      </right>
      <top style="thin">
        <color rgb="FFCACACA"/>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medium">
        <color theme="0" tint="-0.249977111117893"/>
      </right>
      <top/>
      <bottom style="medium">
        <color theme="0" tint="-0.249977111117893"/>
      </bottom>
      <diagonal/>
    </border>
    <border>
      <left style="medium">
        <color theme="0" tint="-0.249977111117893"/>
      </left>
      <right style="medium">
        <color theme="0" tint="-0.249977111117893"/>
      </right>
      <top/>
      <bottom/>
      <diagonal/>
    </border>
    <border>
      <left/>
      <right style="thin">
        <color theme="0" tint="-0.14999847407452621"/>
      </right>
      <top/>
      <bottom/>
      <diagonal/>
    </border>
    <border>
      <left/>
      <right style="thin">
        <color theme="0" tint="-0.14999847407452621"/>
      </right>
      <top/>
      <bottom style="medium">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medium">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mediumDashed">
        <color theme="0" tint="-0.34998626667073579"/>
      </bottom>
      <diagonal/>
    </border>
    <border>
      <left/>
      <right style="mediumDashed">
        <color theme="0" tint="-0.34998626667073579"/>
      </right>
      <top style="mediumDashed">
        <color theme="0" tint="-0.34998626667073579"/>
      </top>
      <bottom/>
      <diagonal/>
    </border>
    <border>
      <left/>
      <right style="mediumDashed">
        <color theme="0" tint="-0.34998626667073579"/>
      </right>
      <top/>
      <bottom/>
      <diagonal/>
    </border>
    <border>
      <left style="thin">
        <color theme="0" tint="-0.34998626667073579"/>
      </left>
      <right style="mediumDashed">
        <color theme="0" tint="-0.34998626667073579"/>
      </right>
      <top/>
      <bottom style="mediumDashed">
        <color theme="0" tint="-0.34998626667073579"/>
      </bottom>
      <diagonal/>
    </border>
    <border>
      <left style="mediumDashed">
        <color theme="0" tint="-0.34998626667073579"/>
      </left>
      <right style="thin">
        <color theme="0" tint="-0.34998626667073579"/>
      </right>
      <top/>
      <bottom style="mediumDashed">
        <color theme="0" tint="-0.34998626667073579"/>
      </bottom>
      <diagonal/>
    </border>
    <border>
      <left/>
      <right style="thin">
        <color theme="0" tint="-0.34998626667073579"/>
      </right>
      <top/>
      <bottom style="mediumDashed">
        <color theme="0" tint="-0.34998626667073579"/>
      </bottom>
      <diagonal/>
    </border>
    <border>
      <left style="thin">
        <color theme="0" tint="-0.34998626667073579"/>
      </left>
      <right style="mediumDashed">
        <color theme="0" tint="-0.34998626667073579"/>
      </right>
      <top/>
      <bottom/>
      <diagonal/>
    </border>
    <border>
      <left style="mediumDashed">
        <color theme="0" tint="-0.34998626667073579"/>
      </left>
      <right/>
      <top/>
      <bottom style="mediumDashed">
        <color theme="0" tint="-0.34998626667073579"/>
      </bottom>
      <diagonal/>
    </border>
    <border>
      <left/>
      <right/>
      <top/>
      <bottom style="mediumDashed">
        <color theme="0" tint="-0.34998626667073579"/>
      </bottom>
      <diagonal/>
    </border>
    <border>
      <left style="thin">
        <color theme="0" tint="-0.34998626667073579"/>
      </left>
      <right style="mediumDashed">
        <color theme="0" tint="-0.34998626667073579"/>
      </right>
      <top style="mediumDashed">
        <color theme="0" tint="-0.34998626667073579"/>
      </top>
      <bottom/>
      <diagonal/>
    </border>
    <border>
      <left style="medium">
        <color rgb="FFBFBFBF"/>
      </left>
      <right/>
      <top style="medium">
        <color rgb="FFBFBFBF"/>
      </top>
      <bottom style="thin">
        <color theme="2"/>
      </bottom>
      <diagonal/>
    </border>
    <border>
      <left/>
      <right style="medium">
        <color rgb="FFBFBFBF"/>
      </right>
      <top style="medium">
        <color rgb="FFBFBFBF"/>
      </top>
      <bottom style="thin">
        <color theme="2"/>
      </bottom>
      <diagonal/>
    </border>
    <border>
      <left style="medium">
        <color rgb="FFBFBFBF"/>
      </left>
      <right style="thin">
        <color rgb="FFBFBFBF"/>
      </right>
      <top style="thin">
        <color theme="2"/>
      </top>
      <bottom style="thin">
        <color theme="2"/>
      </bottom>
      <diagonal/>
    </border>
    <border>
      <left/>
      <right style="medium">
        <color rgb="FFBFBFBF"/>
      </right>
      <top style="thin">
        <color theme="2"/>
      </top>
      <bottom style="thin">
        <color theme="2"/>
      </bottom>
      <diagonal/>
    </border>
    <border>
      <left style="medium">
        <color rgb="FFBFBFBF"/>
      </left>
      <right style="thin">
        <color rgb="FFBFBFBF"/>
      </right>
      <top style="thin">
        <color theme="2"/>
      </top>
      <bottom style="medium">
        <color rgb="FFBFBFBF"/>
      </bottom>
      <diagonal/>
    </border>
    <border>
      <left/>
      <right style="medium">
        <color rgb="FFBFBFBF"/>
      </right>
      <top style="thin">
        <color theme="2"/>
      </top>
      <bottom style="medium">
        <color rgb="FFBFBFBF"/>
      </bottom>
      <diagonal/>
    </border>
    <border>
      <left style="mediumDashed">
        <color rgb="FFA6A6A6"/>
      </left>
      <right/>
      <top style="mediumDashed">
        <color rgb="FFA6A6A6"/>
      </top>
      <bottom/>
      <diagonal/>
    </border>
    <border>
      <left/>
      <right/>
      <top style="mediumDashed">
        <color rgb="FFA6A6A6"/>
      </top>
      <bottom/>
      <diagonal/>
    </border>
    <border>
      <left/>
      <right style="mediumDashed">
        <color rgb="FFA6A6A6"/>
      </right>
      <top style="mediumDashed">
        <color rgb="FFA6A6A6"/>
      </top>
      <bottom/>
      <diagonal/>
    </border>
    <border>
      <left style="mediumDashed">
        <color rgb="FFA6A6A6"/>
      </left>
      <right/>
      <top/>
      <bottom/>
      <diagonal/>
    </border>
    <border>
      <left/>
      <right style="mediumDashed">
        <color rgb="FFA6A6A6"/>
      </right>
      <top/>
      <bottom/>
      <diagonal/>
    </border>
    <border>
      <left style="mediumDashed">
        <color rgb="FFA6A6A6"/>
      </left>
      <right/>
      <top/>
      <bottom style="mediumDashed">
        <color rgb="FFA6A6A6"/>
      </bottom>
      <diagonal/>
    </border>
    <border>
      <left/>
      <right/>
      <top/>
      <bottom style="mediumDashed">
        <color rgb="FFA6A6A6"/>
      </bottom>
      <diagonal/>
    </border>
    <border>
      <left/>
      <right style="mediumDashed">
        <color rgb="FFA6A6A6"/>
      </right>
      <top/>
      <bottom style="mediumDashed">
        <color rgb="FFA6A6A6"/>
      </bottom>
      <diagonal/>
    </border>
    <border>
      <left style="thin">
        <color theme="0"/>
      </left>
      <right style="thin">
        <color theme="0"/>
      </right>
      <top style="thin">
        <color theme="0"/>
      </top>
      <bottom style="medium">
        <color rgb="FFBFBFBF"/>
      </bottom>
      <diagonal/>
    </border>
    <border>
      <left style="medium">
        <color theme="0"/>
      </left>
      <right style="medium">
        <color theme="0"/>
      </right>
      <top style="medium">
        <color theme="0"/>
      </top>
      <bottom style="medium">
        <color theme="0"/>
      </bottom>
      <diagonal/>
    </border>
    <border>
      <left/>
      <right/>
      <top/>
      <bottom style="medium">
        <color rgb="FFBFBFBF"/>
      </bottom>
      <diagonal/>
    </border>
    <border>
      <left style="thin">
        <color theme="0" tint="-0.14999847407452621"/>
      </left>
      <right/>
      <top/>
      <bottom style="medium">
        <color rgb="FFBFBFBF"/>
      </bottom>
      <diagonal/>
    </border>
    <border>
      <left style="thin">
        <color theme="0"/>
      </left>
      <right style="thin">
        <color theme="0"/>
      </right>
      <top/>
      <bottom style="medium">
        <color rgb="FFBFBFBF"/>
      </bottom>
      <diagonal/>
    </border>
    <border>
      <left/>
      <right style="medium">
        <color rgb="FFBFBFBF"/>
      </right>
      <top style="medium">
        <color theme="0" tint="-0.249977111117893"/>
      </top>
      <bottom/>
      <diagonal/>
    </border>
    <border>
      <left/>
      <right style="medium">
        <color rgb="FFBFBFBF"/>
      </right>
      <top/>
      <bottom style="medium">
        <color rgb="FFBFBFBF"/>
      </bottom>
      <diagonal/>
    </border>
    <border>
      <left/>
      <right style="medium">
        <color rgb="FFBFBFBF"/>
      </right>
      <top/>
      <bottom/>
      <diagonal/>
    </border>
    <border>
      <left/>
      <right style="medium">
        <color rgb="FFBFBFBF"/>
      </right>
      <top/>
      <bottom style="medium">
        <color theme="0" tint="-0.249977111117893"/>
      </bottom>
      <diagonal/>
    </border>
    <border>
      <left style="medium">
        <color rgb="FFBFBFBF"/>
      </left>
      <right/>
      <top style="medium">
        <color rgb="FFBFBFBF"/>
      </top>
      <bottom/>
      <diagonal/>
    </border>
    <border>
      <left/>
      <right/>
      <top style="medium">
        <color rgb="FFBFBFBF"/>
      </top>
      <bottom/>
      <diagonal/>
    </border>
    <border>
      <left/>
      <right style="medium">
        <color rgb="FFBFBFBF"/>
      </right>
      <top style="medium">
        <color rgb="FFBFBFBF"/>
      </top>
      <bottom/>
      <diagonal/>
    </border>
    <border>
      <left style="medium">
        <color rgb="FFBFBFBF"/>
      </left>
      <right/>
      <top style="medium">
        <color theme="0" tint="-0.249977111117893"/>
      </top>
      <bottom/>
      <diagonal/>
    </border>
    <border>
      <left style="medium">
        <color rgb="FFBFBFBF"/>
      </left>
      <right/>
      <top/>
      <bottom style="medium">
        <color rgb="FFBFBFBF"/>
      </bottom>
      <diagonal/>
    </border>
    <border>
      <left style="medium">
        <color rgb="FFBFBFBF"/>
      </left>
      <right/>
      <top/>
      <bottom/>
      <diagonal/>
    </border>
    <border>
      <left style="medium">
        <color rgb="FFBFBFBF"/>
      </left>
      <right style="medium">
        <color theme="0" tint="-0.249977111117893"/>
      </right>
      <top/>
      <bottom/>
      <diagonal/>
    </border>
    <border>
      <left style="medium">
        <color rgb="FFBFBFBF"/>
      </left>
      <right style="medium">
        <color theme="0" tint="-0.249977111117893"/>
      </right>
      <top/>
      <bottom style="medium">
        <color rgb="FFBFBFBF"/>
      </bottom>
      <diagonal/>
    </border>
    <border>
      <left/>
      <right style="thin">
        <color theme="0" tint="-0.14999847407452621"/>
      </right>
      <top/>
      <bottom style="medium">
        <color rgb="FFBFBFBF"/>
      </bottom>
      <diagonal/>
    </border>
    <border>
      <left style="medium">
        <color rgb="FFBFBFBF"/>
      </left>
      <right style="medium">
        <color rgb="FFBFBFBF"/>
      </right>
      <top/>
      <bottom style="medium">
        <color rgb="FFBFBFBF"/>
      </bottom>
      <diagonal/>
    </border>
    <border>
      <left style="thin">
        <color theme="0" tint="-0.249977111117893"/>
      </left>
      <right/>
      <top style="thin">
        <color theme="0" tint="-0.249977111117893"/>
      </top>
      <bottom/>
      <diagonal/>
    </border>
    <border>
      <left style="thin">
        <color theme="0" tint="-0.249977111117893"/>
      </left>
      <right/>
      <top/>
      <bottom/>
      <diagonal/>
    </border>
    <border>
      <left/>
      <right/>
      <top style="thin">
        <color theme="0" tint="-0.249977111117893"/>
      </top>
      <bottom/>
      <diagonal/>
    </border>
    <border>
      <left/>
      <right/>
      <top/>
      <bottom style="thin">
        <color theme="0" tint="-0.249977111117893"/>
      </bottom>
      <diagonal/>
    </border>
    <border>
      <left/>
      <right/>
      <top style="medium">
        <color theme="0" tint="-0.249977111117893"/>
      </top>
      <bottom style="thin">
        <color theme="0" tint="-0.249977111117893"/>
      </bottom>
      <diagonal/>
    </border>
    <border>
      <left/>
      <right style="medium">
        <color theme="0" tint="-0.249977111117893"/>
      </right>
      <top style="medium">
        <color theme="0" tint="-0.249977111117893"/>
      </top>
      <bottom style="thin">
        <color theme="0" tint="-0.249977111117893"/>
      </bottom>
      <diagonal/>
    </border>
    <border>
      <left/>
      <right style="medium">
        <color theme="0" tint="-0.249977111117893"/>
      </right>
      <top style="thin">
        <color theme="0" tint="-0.249977111117893"/>
      </top>
      <bottom/>
      <diagonal/>
    </border>
    <border>
      <left/>
      <right style="medium">
        <color theme="0" tint="-0.249977111117893"/>
      </right>
      <top/>
      <bottom style="thin">
        <color theme="0" tint="-0.249977111117893"/>
      </bottom>
      <diagonal/>
    </border>
    <border>
      <left style="thin">
        <color theme="0"/>
      </left>
      <right/>
      <top style="thin">
        <color theme="0"/>
      </top>
      <bottom style="thin">
        <color theme="0"/>
      </bottom>
      <diagonal/>
    </border>
    <border>
      <left style="hair">
        <color rgb="FFBFBFBF"/>
      </left>
      <right/>
      <top style="thin">
        <color theme="0"/>
      </top>
      <bottom style="thin">
        <color theme="0"/>
      </bottom>
      <diagonal/>
    </border>
    <border>
      <left style="thin">
        <color rgb="FF1B4066"/>
      </left>
      <right/>
      <top style="thin">
        <color rgb="FF1B4066"/>
      </top>
      <bottom/>
      <diagonal/>
    </border>
    <border>
      <left/>
      <right/>
      <top style="thin">
        <color rgb="FF1B4066"/>
      </top>
      <bottom/>
      <diagonal/>
    </border>
    <border>
      <left/>
      <right style="thin">
        <color rgb="FF1B4066"/>
      </right>
      <top style="thin">
        <color rgb="FF1B4066"/>
      </top>
      <bottom/>
      <diagonal/>
    </border>
    <border>
      <left style="thin">
        <color rgb="FF1B4066"/>
      </left>
      <right/>
      <top/>
      <bottom/>
      <diagonal/>
    </border>
    <border>
      <left/>
      <right style="thin">
        <color rgb="FF1B4066"/>
      </right>
      <top/>
      <bottom/>
      <diagonal/>
    </border>
    <border>
      <left style="thin">
        <color rgb="FF1B4066"/>
      </left>
      <right/>
      <top/>
      <bottom style="thin">
        <color rgb="FF1B4066"/>
      </bottom>
      <diagonal/>
    </border>
    <border>
      <left/>
      <right/>
      <top/>
      <bottom style="thin">
        <color rgb="FF1B4066"/>
      </bottom>
      <diagonal/>
    </border>
    <border>
      <left/>
      <right style="thin">
        <color rgb="FF1B4066"/>
      </right>
      <top/>
      <bottom style="thin">
        <color rgb="FF1B4066"/>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medium">
        <color rgb="FFBFBFBF"/>
      </bottom>
      <diagonal/>
    </border>
    <border>
      <left/>
      <right/>
      <top/>
      <bottom style="thin">
        <color theme="0" tint="-4.9989318521683403E-2"/>
      </bottom>
      <diagonal/>
    </border>
    <border>
      <left/>
      <right/>
      <top/>
      <bottom style="hair">
        <color rgb="FF1B4066"/>
      </bottom>
      <diagonal/>
    </border>
    <border>
      <left style="medium">
        <color theme="0"/>
      </left>
      <right style="medium">
        <color rgb="FF2C4D73"/>
      </right>
      <top style="medium">
        <color theme="0"/>
      </top>
      <bottom style="medium">
        <color rgb="FF2C4D73"/>
      </bottom>
      <diagonal/>
    </border>
    <border>
      <left style="medium">
        <color theme="0"/>
      </left>
      <right/>
      <top style="medium">
        <color theme="0"/>
      </top>
      <bottom style="medium">
        <color rgb="FF2C4D73"/>
      </bottom>
      <diagonal/>
    </border>
    <border>
      <left/>
      <right style="medium">
        <color rgb="FF2C4D73"/>
      </right>
      <top style="medium">
        <color theme="0"/>
      </top>
      <bottom style="medium">
        <color rgb="FF2C4D73"/>
      </bottom>
      <diagonal/>
    </border>
    <border>
      <left style="thin">
        <color rgb="FF3E70A6"/>
      </left>
      <right/>
      <top style="thin">
        <color rgb="FF3E70A6"/>
      </top>
      <bottom/>
      <diagonal/>
    </border>
    <border>
      <left style="thin">
        <color theme="0"/>
      </left>
      <right style="thin">
        <color theme="0" tint="-0.499984740745262"/>
      </right>
      <top/>
      <bottom style="thin">
        <color theme="0" tint="-0.499984740745262"/>
      </bottom>
      <diagonal/>
    </border>
    <border>
      <left style="medium">
        <color theme="0"/>
      </left>
      <right style="medium">
        <color theme="0" tint="-0.499984740745262"/>
      </right>
      <top style="medium">
        <color theme="0"/>
      </top>
      <bottom style="medium">
        <color theme="0" tint="-0.499984740745262"/>
      </bottom>
      <diagonal/>
    </border>
    <border>
      <left style="medium">
        <color theme="0"/>
      </left>
      <right/>
      <top style="medium">
        <color theme="0"/>
      </top>
      <bottom style="medium">
        <color theme="0" tint="-0.499984740745262"/>
      </bottom>
      <diagonal/>
    </border>
    <border>
      <left/>
      <right/>
      <top style="medium">
        <color theme="0"/>
      </top>
      <bottom style="medium">
        <color theme="0" tint="-0.499984740745262"/>
      </bottom>
      <diagonal/>
    </border>
    <border>
      <left/>
      <right style="medium">
        <color theme="0" tint="-0.499984740745262"/>
      </right>
      <top style="medium">
        <color theme="0"/>
      </top>
      <bottom style="medium">
        <color theme="0" tint="-0.499984740745262"/>
      </bottom>
      <diagonal/>
    </border>
    <border>
      <left style="thin">
        <color theme="0" tint="-0.14999847407452621"/>
      </left>
      <right/>
      <top style="thin">
        <color theme="0" tint="-0.14999847407452621"/>
      </top>
      <bottom style="thin">
        <color rgb="FFF2F2F2"/>
      </bottom>
      <diagonal/>
    </border>
    <border>
      <left/>
      <right/>
      <top style="thin">
        <color theme="0" tint="-0.14999847407452621"/>
      </top>
      <bottom style="thin">
        <color rgb="FFF2F2F2"/>
      </bottom>
      <diagonal/>
    </border>
    <border>
      <left/>
      <right style="thin">
        <color theme="0" tint="-0.14999847407452621"/>
      </right>
      <top style="thin">
        <color theme="0" tint="-0.14999847407452621"/>
      </top>
      <bottom style="thin">
        <color rgb="FFF2F2F2"/>
      </bottom>
      <diagonal/>
    </border>
    <border>
      <left style="thin">
        <color theme="0" tint="-0.14999847407452621"/>
      </left>
      <right/>
      <top/>
      <bottom style="thin">
        <color rgb="FFF2F2F2"/>
      </bottom>
      <diagonal/>
    </border>
    <border>
      <left/>
      <right style="thin">
        <color theme="0" tint="-0.14999847407452621"/>
      </right>
      <top/>
      <bottom style="thin">
        <color theme="0" tint="-4.9989318521683403E-2"/>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rgb="FFBFBFBF"/>
      </left>
      <right style="thin">
        <color theme="0" tint="-0.249977111117893"/>
      </right>
      <top style="thin">
        <color rgb="FFBFBFBF"/>
      </top>
      <bottom style="thin">
        <color theme="0" tint="-0.249977111117893"/>
      </bottom>
      <diagonal/>
    </border>
  </borders>
  <cellStyleXfs count="9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3" fillId="0" borderId="0"/>
    <xf numFmtId="0" fontId="2" fillId="0" borderId="0"/>
    <xf numFmtId="0" fontId="23" fillId="0" borderId="0"/>
    <xf numFmtId="0" fontId="1" fillId="0" borderId="0"/>
    <xf numFmtId="0" fontId="5" fillId="0" borderId="0" applyNumberFormat="0" applyFill="0" applyBorder="0" applyAlignment="0" applyProtection="0"/>
  </cellStyleXfs>
  <cellXfs count="725">
    <xf numFmtId="0" fontId="0" fillId="0" borderId="0" xfId="0"/>
    <xf numFmtId="0" fontId="0" fillId="2" borderId="0" xfId="0" applyFill="1"/>
    <xf numFmtId="0" fontId="0" fillId="2" borderId="0" xfId="0" applyFill="1" applyProtection="1">
      <protection hidden="1"/>
    </xf>
    <xf numFmtId="0" fontId="0" fillId="0" borderId="0" xfId="0" applyProtection="1">
      <protection hidden="1"/>
    </xf>
    <xf numFmtId="0" fontId="0" fillId="0" borderId="0" xfId="0" applyAlignment="1" applyProtection="1">
      <alignment horizontal="center"/>
      <protection hidden="1"/>
    </xf>
    <xf numFmtId="0" fontId="23" fillId="0" borderId="0" xfId="90"/>
    <xf numFmtId="0" fontId="11" fillId="0" borderId="0" xfId="0" applyFont="1" applyProtection="1">
      <protection hidden="1"/>
    </xf>
    <xf numFmtId="0" fontId="0" fillId="0" borderId="0" xfId="0" applyAlignment="1">
      <alignment horizontal="center"/>
    </xf>
    <xf numFmtId="0" fontId="3" fillId="13" borderId="41" xfId="0" applyFont="1" applyFill="1" applyBorder="1" applyAlignment="1">
      <alignment horizontal="left" vertical="top"/>
    </xf>
    <xf numFmtId="0" fontId="7" fillId="0" borderId="0" xfId="0" applyFont="1" applyProtection="1">
      <protection hidden="1"/>
    </xf>
    <xf numFmtId="0" fontId="18" fillId="13" borderId="42" xfId="0" applyFont="1" applyFill="1" applyBorder="1" applyAlignment="1" applyProtection="1">
      <alignment horizontal="centerContinuous" vertical="center"/>
      <protection hidden="1"/>
    </xf>
    <xf numFmtId="0" fontId="8" fillId="13" borderId="42" xfId="0" applyFont="1" applyFill="1" applyBorder="1" applyAlignment="1" applyProtection="1">
      <alignment horizontal="centerContinuous" vertical="center"/>
      <protection hidden="1"/>
    </xf>
    <xf numFmtId="0" fontId="8" fillId="13" borderId="43" xfId="0" applyFont="1" applyFill="1" applyBorder="1" applyAlignment="1" applyProtection="1">
      <alignment horizontal="centerContinuous" vertical="center"/>
      <protection hidden="1"/>
    </xf>
    <xf numFmtId="0" fontId="29" fillId="0" borderId="0" xfId="0" applyFont="1"/>
    <xf numFmtId="0" fontId="11" fillId="0" borderId="0" xfId="0" applyFont="1"/>
    <xf numFmtId="0" fontId="11" fillId="0" borderId="0" xfId="0" applyFont="1" applyAlignment="1">
      <alignment horizontal="center"/>
    </xf>
    <xf numFmtId="0" fontId="7" fillId="0" borderId="0" xfId="0" applyFont="1"/>
    <xf numFmtId="0" fontId="36" fillId="42" borderId="0" xfId="0" applyFont="1" applyFill="1"/>
    <xf numFmtId="0" fontId="41" fillId="42" borderId="0" xfId="27" applyFont="1" applyFill="1" applyBorder="1" applyAlignment="1" applyProtection="1">
      <alignment vertical="center"/>
      <protection hidden="1"/>
    </xf>
    <xf numFmtId="0" fontId="39" fillId="42" borderId="0" xfId="0" applyFont="1" applyFill="1" applyAlignment="1" applyProtection="1">
      <alignment horizontal="left" vertical="center"/>
      <protection hidden="1"/>
    </xf>
    <xf numFmtId="0" fontId="43" fillId="37" borderId="96" xfId="27" applyFont="1" applyFill="1" applyBorder="1" applyAlignment="1" applyProtection="1">
      <alignment horizontal="center" vertical="center"/>
      <protection hidden="1"/>
    </xf>
    <xf numFmtId="0" fontId="43" fillId="38" borderId="96" xfId="27" applyFont="1" applyFill="1" applyBorder="1" applyAlignment="1" applyProtection="1">
      <alignment horizontal="center" vertical="center"/>
      <protection hidden="1"/>
    </xf>
    <xf numFmtId="0" fontId="43" fillId="39" borderId="96" xfId="27" applyFont="1" applyFill="1" applyBorder="1" applyAlignment="1" applyProtection="1">
      <alignment horizontal="center" vertical="center"/>
      <protection hidden="1"/>
    </xf>
    <xf numFmtId="0" fontId="43" fillId="40" borderId="96" xfId="27" applyFont="1" applyFill="1" applyBorder="1" applyAlignment="1" applyProtection="1">
      <alignment horizontal="center" vertical="center"/>
      <protection hidden="1"/>
    </xf>
    <xf numFmtId="14" fontId="48" fillId="4" borderId="0" xfId="0" applyNumberFormat="1" applyFont="1" applyFill="1" applyAlignment="1" applyProtection="1">
      <alignment horizontal="center" vertical="center"/>
      <protection hidden="1"/>
    </xf>
    <xf numFmtId="164" fontId="48" fillId="4" borderId="0" xfId="0" applyNumberFormat="1" applyFont="1" applyFill="1" applyAlignment="1" applyProtection="1">
      <alignment horizontal="center" vertical="center"/>
      <protection hidden="1"/>
    </xf>
    <xf numFmtId="14" fontId="48" fillId="4" borderId="39" xfId="0" applyNumberFormat="1" applyFont="1" applyFill="1" applyBorder="1" applyAlignment="1" applyProtection="1">
      <alignment horizontal="center" vertical="center"/>
      <protection hidden="1"/>
    </xf>
    <xf numFmtId="0" fontId="49" fillId="4" borderId="0" xfId="0" applyFont="1" applyFill="1" applyAlignment="1" applyProtection="1">
      <alignment horizontal="right"/>
      <protection hidden="1"/>
    </xf>
    <xf numFmtId="14" fontId="48" fillId="4" borderId="47" xfId="0" applyNumberFormat="1" applyFont="1" applyFill="1" applyBorder="1" applyAlignment="1" applyProtection="1">
      <alignment horizontal="center" vertical="center"/>
      <protection hidden="1"/>
    </xf>
    <xf numFmtId="164" fontId="48" fillId="4" borderId="47" xfId="0" applyNumberFormat="1" applyFont="1" applyFill="1" applyBorder="1" applyAlignment="1" applyProtection="1">
      <alignment horizontal="center" vertical="center"/>
      <protection hidden="1"/>
    </xf>
    <xf numFmtId="14" fontId="48" fillId="4" borderId="48" xfId="0" applyNumberFormat="1" applyFont="1" applyFill="1" applyBorder="1" applyAlignment="1" applyProtection="1">
      <alignment horizontal="center" vertical="center"/>
      <protection hidden="1"/>
    </xf>
    <xf numFmtId="0" fontId="49" fillId="4" borderId="47" xfId="0" applyFont="1" applyFill="1" applyBorder="1" applyAlignment="1" applyProtection="1">
      <alignment horizontal="right"/>
      <protection hidden="1"/>
    </xf>
    <xf numFmtId="0" fontId="49" fillId="4" borderId="45" xfId="0" applyFont="1" applyFill="1" applyBorder="1" applyAlignment="1" applyProtection="1">
      <alignment horizontal="left"/>
      <protection hidden="1"/>
    </xf>
    <xf numFmtId="0" fontId="49" fillId="4" borderId="50" xfId="0" applyFont="1" applyFill="1" applyBorder="1" applyAlignment="1" applyProtection="1">
      <alignment horizontal="left"/>
      <protection hidden="1"/>
    </xf>
    <xf numFmtId="0" fontId="49" fillId="4" borderId="37" xfId="0" applyFont="1" applyFill="1" applyBorder="1" applyAlignment="1" applyProtection="1">
      <alignment horizontal="left" vertical="center"/>
      <protection hidden="1"/>
    </xf>
    <xf numFmtId="0" fontId="50" fillId="4" borderId="37" xfId="0" applyFont="1" applyFill="1" applyBorder="1" applyAlignment="1" applyProtection="1">
      <alignment horizontal="center" vertical="center"/>
      <protection hidden="1"/>
    </xf>
    <xf numFmtId="0" fontId="49" fillId="4" borderId="37" xfId="0" applyFont="1" applyFill="1" applyBorder="1" applyAlignment="1" applyProtection="1">
      <alignment horizontal="center" vertical="center"/>
      <protection hidden="1"/>
    </xf>
    <xf numFmtId="0" fontId="49" fillId="4" borderId="0" xfId="0" applyFont="1" applyFill="1" applyAlignment="1" applyProtection="1">
      <alignment horizontal="left" vertical="center"/>
      <protection hidden="1"/>
    </xf>
    <xf numFmtId="0" fontId="50" fillId="4" borderId="0" xfId="0" applyFont="1" applyFill="1" applyAlignment="1" applyProtection="1">
      <alignment horizontal="center" vertical="center"/>
      <protection hidden="1"/>
    </xf>
    <xf numFmtId="0" fontId="49" fillId="4" borderId="0" xfId="0" applyFont="1" applyFill="1" applyAlignment="1" applyProtection="1">
      <alignment horizontal="center" vertical="center"/>
      <protection hidden="1"/>
    </xf>
    <xf numFmtId="0" fontId="49" fillId="4" borderId="55" xfId="0" applyFont="1" applyFill="1" applyBorder="1" applyAlignment="1" applyProtection="1">
      <alignment horizontal="center" vertical="center"/>
      <protection hidden="1"/>
    </xf>
    <xf numFmtId="0" fontId="49" fillId="4" borderId="56" xfId="0" applyFont="1" applyFill="1" applyBorder="1" applyAlignment="1" applyProtection="1">
      <alignment horizontal="center" vertical="center"/>
      <protection hidden="1"/>
    </xf>
    <xf numFmtId="0" fontId="49" fillId="4" borderId="44" xfId="0" applyFont="1" applyFill="1" applyBorder="1" applyAlignment="1" applyProtection="1">
      <alignment horizontal="center" vertical="center"/>
      <protection hidden="1"/>
    </xf>
    <xf numFmtId="0" fontId="49" fillId="4" borderId="45" xfId="0" applyFont="1" applyFill="1" applyBorder="1" applyAlignment="1" applyProtection="1">
      <alignment horizontal="center" vertical="center"/>
      <protection hidden="1"/>
    </xf>
    <xf numFmtId="0" fontId="49" fillId="4" borderId="46" xfId="0" applyFont="1" applyFill="1" applyBorder="1" applyAlignment="1" applyProtection="1">
      <alignment horizontal="center" vertical="center"/>
      <protection hidden="1"/>
    </xf>
    <xf numFmtId="0" fontId="49" fillId="4" borderId="47" xfId="0" applyFont="1" applyFill="1" applyBorder="1" applyAlignment="1" applyProtection="1">
      <alignment horizontal="left" vertical="center"/>
      <protection hidden="1"/>
    </xf>
    <xf numFmtId="0" fontId="50" fillId="4" borderId="47" xfId="0" applyFont="1" applyFill="1" applyBorder="1" applyAlignment="1" applyProtection="1">
      <alignment horizontal="center" vertical="center"/>
      <protection hidden="1"/>
    </xf>
    <xf numFmtId="0" fontId="49" fillId="4" borderId="47" xfId="0" applyFont="1" applyFill="1" applyBorder="1" applyAlignment="1" applyProtection="1">
      <alignment horizontal="center" vertical="center"/>
      <protection hidden="1"/>
    </xf>
    <xf numFmtId="0" fontId="49" fillId="4" borderId="50" xfId="0" applyFont="1" applyFill="1" applyBorder="1" applyAlignment="1" applyProtection="1">
      <alignment horizontal="center" vertical="center"/>
      <protection hidden="1"/>
    </xf>
    <xf numFmtId="0" fontId="49" fillId="4" borderId="39" xfId="0" applyFont="1" applyFill="1" applyBorder="1" applyAlignment="1" applyProtection="1">
      <alignment horizontal="right" wrapText="1"/>
      <protection hidden="1"/>
    </xf>
    <xf numFmtId="0" fontId="49" fillId="4" borderId="51" xfId="0" applyFont="1" applyFill="1" applyBorder="1" applyAlignment="1" applyProtection="1">
      <alignment horizontal="center"/>
      <protection locked="0"/>
    </xf>
    <xf numFmtId="0" fontId="49" fillId="4" borderId="40" xfId="0" applyFont="1" applyFill="1" applyBorder="1" applyAlignment="1" applyProtection="1">
      <alignment horizontal="center"/>
      <protection locked="0"/>
    </xf>
    <xf numFmtId="0" fontId="49" fillId="4" borderId="48" xfId="0" applyFont="1" applyFill="1" applyBorder="1" applyAlignment="1" applyProtection="1">
      <alignment horizontal="right" wrapText="1"/>
      <protection hidden="1"/>
    </xf>
    <xf numFmtId="0" fontId="49" fillId="4" borderId="52" xfId="0" applyFont="1" applyFill="1" applyBorder="1" applyAlignment="1" applyProtection="1">
      <alignment horizontal="center"/>
      <protection locked="0"/>
    </xf>
    <xf numFmtId="0" fontId="49" fillId="4" borderId="49" xfId="0" applyFont="1" applyFill="1" applyBorder="1" applyAlignment="1" applyProtection="1">
      <alignment horizontal="center"/>
      <protection locked="0"/>
    </xf>
    <xf numFmtId="0" fontId="51" fillId="13" borderId="42" xfId="0" applyFont="1" applyFill="1" applyBorder="1" applyAlignment="1">
      <alignment horizontal="center"/>
    </xf>
    <xf numFmtId="0" fontId="51" fillId="13" borderId="42" xfId="0" applyFont="1" applyFill="1" applyBorder="1" applyAlignment="1">
      <alignment horizontal="left"/>
    </xf>
    <xf numFmtId="0" fontId="51" fillId="13" borderId="42" xfId="0" applyFont="1" applyFill="1" applyBorder="1" applyAlignment="1">
      <alignment horizontal="right"/>
    </xf>
    <xf numFmtId="0" fontId="51" fillId="13" borderId="43" xfId="0" applyFont="1" applyFill="1" applyBorder="1" applyAlignment="1">
      <alignment horizontal="left"/>
    </xf>
    <xf numFmtId="0" fontId="51" fillId="13" borderId="41" xfId="0" applyFont="1" applyFill="1" applyBorder="1" applyAlignment="1" applyProtection="1">
      <alignment horizontal="centerContinuous"/>
      <protection hidden="1"/>
    </xf>
    <xf numFmtId="0" fontId="51" fillId="13" borderId="42" xfId="0" applyFont="1" applyFill="1" applyBorder="1" applyAlignment="1" applyProtection="1">
      <alignment horizontal="centerContinuous"/>
      <protection hidden="1"/>
    </xf>
    <xf numFmtId="0" fontId="51" fillId="13" borderId="43" xfId="0" applyFont="1" applyFill="1" applyBorder="1" applyAlignment="1" applyProtection="1">
      <alignment horizontal="centerContinuous"/>
      <protection hidden="1"/>
    </xf>
    <xf numFmtId="0" fontId="51" fillId="13" borderId="53" xfId="0" applyFont="1" applyFill="1" applyBorder="1" applyAlignment="1" applyProtection="1">
      <alignment horizontal="center" vertical="center"/>
      <protection hidden="1"/>
    </xf>
    <xf numFmtId="0" fontId="51" fillId="13" borderId="30" xfId="0" applyFont="1" applyFill="1" applyBorder="1" applyAlignment="1" applyProtection="1">
      <alignment horizontal="center" vertical="center"/>
      <protection hidden="1"/>
    </xf>
    <xf numFmtId="0" fontId="51" fillId="13" borderId="30" xfId="0" applyFont="1" applyFill="1" applyBorder="1" applyAlignment="1" applyProtection="1">
      <alignment horizontal="left" vertical="center"/>
      <protection hidden="1"/>
    </xf>
    <xf numFmtId="0" fontId="51" fillId="13" borderId="54" xfId="0" applyFont="1" applyFill="1" applyBorder="1" applyAlignment="1" applyProtection="1">
      <alignment horizontal="center" vertical="center"/>
      <protection hidden="1"/>
    </xf>
    <xf numFmtId="0" fontId="51" fillId="13" borderId="41" xfId="0" applyFont="1" applyFill="1" applyBorder="1" applyAlignment="1" applyProtection="1">
      <alignment horizontal="centerContinuous" vertical="center"/>
      <protection hidden="1"/>
    </xf>
    <xf numFmtId="0" fontId="51" fillId="13" borderId="42" xfId="0" applyFont="1" applyFill="1" applyBorder="1" applyAlignment="1">
      <alignment horizontal="left" vertical="top"/>
    </xf>
    <xf numFmtId="0" fontId="51" fillId="13" borderId="42" xfId="0" applyFont="1" applyFill="1" applyBorder="1" applyAlignment="1">
      <alignment horizontal="right" vertical="top"/>
    </xf>
    <xf numFmtId="0" fontId="51" fillId="13" borderId="42" xfId="0" applyFont="1" applyFill="1" applyBorder="1" applyAlignment="1">
      <alignment horizontal="center" vertical="top"/>
    </xf>
    <xf numFmtId="0" fontId="51" fillId="13" borderId="43" xfId="0" applyFont="1" applyFill="1" applyBorder="1" applyAlignment="1">
      <alignment horizontal="left" vertical="top"/>
    </xf>
    <xf numFmtId="0" fontId="49" fillId="4" borderId="34" xfId="0" applyFont="1" applyFill="1" applyBorder="1" applyAlignment="1" applyProtection="1">
      <alignment horizontal="center" vertical="center"/>
      <protection hidden="1"/>
    </xf>
    <xf numFmtId="0" fontId="49" fillId="4" borderId="35" xfId="0" applyFont="1" applyFill="1" applyBorder="1" applyAlignment="1" applyProtection="1">
      <alignment horizontal="center" vertical="center"/>
      <protection hidden="1"/>
    </xf>
    <xf numFmtId="0" fontId="49" fillId="4" borderId="33" xfId="0" applyFont="1" applyFill="1" applyBorder="1" applyAlignment="1" applyProtection="1">
      <alignment horizontal="center" vertical="center"/>
      <protection hidden="1"/>
    </xf>
    <xf numFmtId="0" fontId="49" fillId="4" borderId="32" xfId="0" applyFont="1" applyFill="1" applyBorder="1" applyAlignment="1" applyProtection="1">
      <alignment horizontal="center" vertical="center"/>
      <protection hidden="1"/>
    </xf>
    <xf numFmtId="0" fontId="49" fillId="4" borderId="36" xfId="0" applyFont="1" applyFill="1" applyBorder="1" applyAlignment="1" applyProtection="1">
      <alignment horizontal="center" vertical="center"/>
      <protection hidden="1"/>
    </xf>
    <xf numFmtId="0" fontId="49" fillId="4" borderId="38" xfId="0" applyFont="1" applyFill="1" applyBorder="1" applyAlignment="1" applyProtection="1">
      <alignment horizontal="left" vertical="center"/>
      <protection hidden="1"/>
    </xf>
    <xf numFmtId="0" fontId="50" fillId="4" borderId="38" xfId="0" applyFont="1" applyFill="1" applyBorder="1" applyAlignment="1" applyProtection="1">
      <alignment horizontal="center" vertical="center"/>
      <protection hidden="1"/>
    </xf>
    <xf numFmtId="0" fontId="49" fillId="4" borderId="38" xfId="0" applyFont="1" applyFill="1" applyBorder="1" applyAlignment="1" applyProtection="1">
      <alignment horizontal="center" vertical="center"/>
      <protection hidden="1"/>
    </xf>
    <xf numFmtId="0" fontId="49" fillId="4" borderId="31" xfId="0" applyFont="1" applyFill="1" applyBorder="1" applyAlignment="1" applyProtection="1">
      <alignment horizontal="center" vertical="center"/>
      <protection hidden="1"/>
    </xf>
    <xf numFmtId="0" fontId="49" fillId="4" borderId="41" xfId="0" applyFont="1" applyFill="1" applyBorder="1" applyAlignment="1" applyProtection="1">
      <alignment horizontal="center" vertical="center"/>
      <protection hidden="1"/>
    </xf>
    <xf numFmtId="0" fontId="49" fillId="4" borderId="42" xfId="0" applyFont="1" applyFill="1" applyBorder="1" applyAlignment="1" applyProtection="1">
      <alignment horizontal="left" vertical="center"/>
      <protection hidden="1"/>
    </xf>
    <xf numFmtId="0" fontId="49" fillId="4" borderId="42" xfId="0" applyFont="1" applyFill="1" applyBorder="1" applyAlignment="1" applyProtection="1">
      <alignment horizontal="center" vertical="center"/>
      <protection hidden="1"/>
    </xf>
    <xf numFmtId="0" fontId="49" fillId="4" borderId="42" xfId="0" quotePrefix="1" applyFont="1" applyFill="1" applyBorder="1" applyAlignment="1" applyProtection="1">
      <alignment horizontal="center" vertical="center"/>
      <protection hidden="1"/>
    </xf>
    <xf numFmtId="0" fontId="49" fillId="4" borderId="43" xfId="0" quotePrefix="1" applyFont="1" applyFill="1" applyBorder="1" applyAlignment="1" applyProtection="1">
      <alignment horizontal="center" vertical="center"/>
      <protection hidden="1"/>
    </xf>
    <xf numFmtId="0" fontId="49" fillId="4" borderId="0" xfId="0" quotePrefix="1" applyFont="1" applyFill="1" applyAlignment="1" applyProtection="1">
      <alignment horizontal="left" vertical="center"/>
      <protection hidden="1"/>
    </xf>
    <xf numFmtId="0" fontId="49" fillId="4" borderId="0" xfId="0" quotePrefix="1" applyFont="1" applyFill="1" applyAlignment="1" applyProtection="1">
      <alignment horizontal="center" vertical="center"/>
      <protection hidden="1"/>
    </xf>
    <xf numFmtId="0" fontId="49" fillId="4" borderId="45" xfId="0" quotePrefix="1" applyFont="1" applyFill="1" applyBorder="1" applyAlignment="1" applyProtection="1">
      <alignment horizontal="center" vertical="center"/>
      <protection hidden="1"/>
    </xf>
    <xf numFmtId="0" fontId="49" fillId="4" borderId="0" xfId="0" applyFont="1" applyFill="1" applyAlignment="1" applyProtection="1">
      <alignment horizontal="right" vertical="center"/>
      <protection hidden="1"/>
    </xf>
    <xf numFmtId="0" fontId="49" fillId="4" borderId="0" xfId="0" applyFont="1" applyFill="1" applyAlignment="1" applyProtection="1">
      <alignment horizontal="center"/>
      <protection locked="0" hidden="1"/>
    </xf>
    <xf numFmtId="0" fontId="49" fillId="4" borderId="5" xfId="0" applyFont="1" applyFill="1" applyBorder="1" applyAlignment="1" applyProtection="1">
      <alignment horizontal="center"/>
      <protection locked="0" hidden="1"/>
    </xf>
    <xf numFmtId="0" fontId="49" fillId="4" borderId="45" xfId="0" applyFont="1" applyFill="1" applyBorder="1" applyAlignment="1">
      <alignment horizontal="left" vertical="center"/>
    </xf>
    <xf numFmtId="0" fontId="49" fillId="4" borderId="57" xfId="0" applyFont="1" applyFill="1" applyBorder="1" applyAlignment="1" applyProtection="1">
      <alignment horizontal="center"/>
      <protection locked="0"/>
    </xf>
    <xf numFmtId="0" fontId="49" fillId="4" borderId="47" xfId="0" applyFont="1" applyFill="1" applyBorder="1" applyAlignment="1" applyProtection="1">
      <alignment horizontal="right" vertical="center"/>
      <protection hidden="1"/>
    </xf>
    <xf numFmtId="0" fontId="49" fillId="4" borderId="47" xfId="0" applyFont="1" applyFill="1" applyBorder="1" applyAlignment="1" applyProtection="1">
      <alignment horizontal="center"/>
      <protection locked="0" hidden="1"/>
    </xf>
    <xf numFmtId="0" fontId="49" fillId="4" borderId="50" xfId="0" applyFont="1" applyFill="1" applyBorder="1" applyAlignment="1">
      <alignment horizontal="left" vertical="center"/>
    </xf>
    <xf numFmtId="0" fontId="49" fillId="4" borderId="15" xfId="0" applyFont="1" applyFill="1" applyBorder="1" applyAlignment="1" applyProtection="1">
      <alignment horizontal="center"/>
      <protection locked="0"/>
    </xf>
    <xf numFmtId="0" fontId="49" fillId="4" borderId="14" xfId="0" applyFont="1" applyFill="1" applyBorder="1" applyAlignment="1" applyProtection="1">
      <alignment horizontal="center"/>
      <protection locked="0"/>
    </xf>
    <xf numFmtId="0" fontId="49" fillId="4" borderId="4" xfId="0" applyFont="1" applyFill="1" applyBorder="1" applyAlignment="1" applyProtection="1">
      <alignment horizontal="center"/>
      <protection locked="0" hidden="1"/>
    </xf>
    <xf numFmtId="0" fontId="49" fillId="4" borderId="3" xfId="0" applyFont="1" applyFill="1" applyBorder="1" applyAlignment="1" applyProtection="1">
      <alignment horizontal="center"/>
      <protection locked="0"/>
    </xf>
    <xf numFmtId="0" fontId="49" fillId="4" borderId="95" xfId="0" applyFont="1" applyFill="1" applyBorder="1" applyAlignment="1" applyProtection="1">
      <alignment horizontal="center"/>
      <protection locked="0"/>
    </xf>
    <xf numFmtId="0" fontId="49" fillId="4" borderId="2" xfId="0" applyFont="1" applyFill="1" applyBorder="1" applyAlignment="1" applyProtection="1">
      <alignment horizontal="center"/>
      <protection locked="0"/>
    </xf>
    <xf numFmtId="0" fontId="51" fillId="13" borderId="100" xfId="0" applyFont="1" applyFill="1" applyBorder="1" applyAlignment="1">
      <alignment horizontal="left" vertical="top"/>
    </xf>
    <xf numFmtId="0" fontId="0" fillId="4" borderId="101" xfId="0" applyFill="1" applyBorder="1" applyAlignment="1">
      <alignment vertical="center"/>
    </xf>
    <xf numFmtId="0" fontId="49" fillId="4" borderId="98" xfId="0" applyFont="1" applyFill="1" applyBorder="1" applyAlignment="1" applyProtection="1">
      <alignment horizontal="right" vertical="center"/>
      <protection hidden="1"/>
    </xf>
    <xf numFmtId="0" fontId="49" fillId="4" borderId="99" xfId="0" applyFont="1" applyFill="1" applyBorder="1" applyAlignment="1" applyProtection="1">
      <alignment horizontal="center" vertical="center"/>
      <protection locked="0"/>
    </xf>
    <xf numFmtId="0" fontId="49" fillId="4" borderId="101" xfId="0" applyFont="1" applyFill="1" applyBorder="1" applyAlignment="1">
      <alignment vertical="center"/>
    </xf>
    <xf numFmtId="0" fontId="0" fillId="4" borderId="102" xfId="0" applyFill="1" applyBorder="1" applyAlignment="1">
      <alignment vertical="center"/>
    </xf>
    <xf numFmtId="0" fontId="54" fillId="13" borderId="97" xfId="0" applyFont="1" applyFill="1" applyBorder="1" applyAlignment="1" applyProtection="1">
      <alignment horizontal="left" vertical="center"/>
      <protection hidden="1"/>
    </xf>
    <xf numFmtId="0" fontId="28" fillId="13" borderId="97" xfId="0" applyFont="1" applyFill="1" applyBorder="1" applyAlignment="1" applyProtection="1">
      <alignment horizontal="left" vertical="center"/>
      <protection hidden="1"/>
    </xf>
    <xf numFmtId="0" fontId="0" fillId="4" borderId="97" xfId="0" applyFill="1" applyBorder="1" applyAlignment="1">
      <alignment vertical="center"/>
    </xf>
    <xf numFmtId="0" fontId="0" fillId="4" borderId="0" xfId="0" applyFill="1" applyAlignment="1">
      <alignment vertical="center"/>
    </xf>
    <xf numFmtId="0" fontId="28" fillId="13" borderId="102" xfId="0" applyFont="1" applyFill="1" applyBorder="1" applyAlignment="1" applyProtection="1">
      <alignment horizontal="left" vertical="center"/>
      <protection hidden="1"/>
    </xf>
    <xf numFmtId="0" fontId="28" fillId="13" borderId="101" xfId="0" applyFont="1" applyFill="1" applyBorder="1" applyAlignment="1" applyProtection="1">
      <alignment horizontal="left" vertical="center"/>
      <protection hidden="1"/>
    </xf>
    <xf numFmtId="0" fontId="28" fillId="13" borderId="0" xfId="0" applyFont="1" applyFill="1" applyAlignment="1" applyProtection="1">
      <alignment horizontal="left" vertical="center"/>
      <protection hidden="1"/>
    </xf>
    <xf numFmtId="0" fontId="54" fillId="13" borderId="0" xfId="0" applyFont="1" applyFill="1" applyAlignment="1" applyProtection="1">
      <alignment horizontal="left" vertical="center"/>
      <protection hidden="1"/>
    </xf>
    <xf numFmtId="0" fontId="49" fillId="4" borderId="102" xfId="0" applyFont="1" applyFill="1" applyBorder="1" applyAlignment="1">
      <alignment horizontal="left" vertical="center"/>
    </xf>
    <xf numFmtId="0" fontId="49" fillId="4" borderId="103" xfId="0" applyFont="1" applyFill="1" applyBorder="1" applyAlignment="1">
      <alignment horizontal="left" vertical="center"/>
    </xf>
    <xf numFmtId="0" fontId="51" fillId="13" borderId="104" xfId="0" applyFont="1" applyFill="1" applyBorder="1" applyAlignment="1" applyProtection="1">
      <alignment horizontal="centerContinuous" vertical="center"/>
      <protection hidden="1"/>
    </xf>
    <xf numFmtId="0" fontId="18" fillId="13" borderId="105" xfId="0" applyFont="1" applyFill="1" applyBorder="1" applyAlignment="1" applyProtection="1">
      <alignment horizontal="centerContinuous" vertical="center"/>
      <protection hidden="1"/>
    </xf>
    <xf numFmtId="0" fontId="8" fillId="13" borderId="105" xfId="0" applyFont="1" applyFill="1" applyBorder="1" applyAlignment="1" applyProtection="1">
      <alignment horizontal="centerContinuous" vertical="center"/>
      <protection hidden="1"/>
    </xf>
    <xf numFmtId="0" fontId="8" fillId="13" borderId="106" xfId="0" applyFont="1" applyFill="1" applyBorder="1" applyAlignment="1" applyProtection="1">
      <alignment horizontal="centerContinuous" vertical="center"/>
      <protection hidden="1"/>
    </xf>
    <xf numFmtId="0" fontId="28" fillId="13" borderId="107" xfId="0" applyFont="1" applyFill="1" applyBorder="1" applyAlignment="1">
      <alignment horizontal="left" vertical="top"/>
    </xf>
    <xf numFmtId="14" fontId="48" fillId="4" borderId="97" xfId="0" applyNumberFormat="1" applyFont="1" applyFill="1" applyBorder="1" applyAlignment="1" applyProtection="1">
      <alignment horizontal="center" vertical="center"/>
      <protection hidden="1"/>
    </xf>
    <xf numFmtId="164" fontId="48" fillId="4" borderId="97" xfId="0" applyNumberFormat="1" applyFont="1" applyFill="1" applyBorder="1" applyAlignment="1" applyProtection="1">
      <alignment horizontal="center" vertical="center"/>
      <protection hidden="1"/>
    </xf>
    <xf numFmtId="0" fontId="51" fillId="13" borderId="104" xfId="0" applyFont="1" applyFill="1" applyBorder="1" applyAlignment="1" applyProtection="1">
      <alignment horizontal="left" vertical="center"/>
      <protection hidden="1"/>
    </xf>
    <xf numFmtId="0" fontId="28" fillId="13" borderId="105" xfId="0" applyFont="1" applyFill="1" applyBorder="1" applyAlignment="1">
      <alignment horizontal="center"/>
    </xf>
    <xf numFmtId="0" fontId="28" fillId="13" borderId="105" xfId="0" applyFont="1" applyFill="1" applyBorder="1" applyAlignment="1">
      <alignment horizontal="left"/>
    </xf>
    <xf numFmtId="0" fontId="51" fillId="13" borderId="105" xfId="0" applyFont="1" applyFill="1" applyBorder="1" applyAlignment="1">
      <alignment horizontal="right"/>
    </xf>
    <xf numFmtId="0" fontId="28" fillId="13" borderId="106" xfId="0" applyFont="1" applyFill="1" applyBorder="1" applyAlignment="1">
      <alignment horizontal="left"/>
    </xf>
    <xf numFmtId="0" fontId="55" fillId="13" borderId="109" xfId="0" applyFont="1" applyFill="1" applyBorder="1" applyAlignment="1" applyProtection="1">
      <alignment horizontal="left" vertical="center"/>
      <protection hidden="1"/>
    </xf>
    <xf numFmtId="0" fontId="55" fillId="13" borderId="108" xfId="0" applyFont="1" applyFill="1" applyBorder="1" applyAlignment="1" applyProtection="1">
      <alignment horizontal="left" vertical="center"/>
      <protection hidden="1"/>
    </xf>
    <xf numFmtId="0" fontId="0" fillId="4" borderId="105" xfId="0" applyFill="1" applyBorder="1" applyAlignment="1">
      <alignment vertical="center"/>
    </xf>
    <xf numFmtId="0" fontId="0" fillId="4" borderId="106" xfId="0" applyFill="1" applyBorder="1" applyAlignment="1">
      <alignment vertical="center"/>
    </xf>
    <xf numFmtId="0" fontId="55" fillId="13" borderId="104" xfId="0" applyFont="1" applyFill="1" applyBorder="1" applyAlignment="1" applyProtection="1">
      <alignment horizontal="left" vertical="center"/>
      <protection hidden="1"/>
    </xf>
    <xf numFmtId="0" fontId="28" fillId="13" borderId="105" xfId="0" applyFont="1" applyFill="1" applyBorder="1" applyAlignment="1" applyProtection="1">
      <alignment horizontal="left" vertical="center"/>
      <protection hidden="1"/>
    </xf>
    <xf numFmtId="0" fontId="28" fillId="13" borderId="106" xfId="0" applyFont="1" applyFill="1" applyBorder="1" applyAlignment="1" applyProtection="1">
      <alignment horizontal="left" vertical="center"/>
      <protection hidden="1"/>
    </xf>
    <xf numFmtId="0" fontId="56" fillId="13" borderId="105" xfId="0" applyFont="1" applyFill="1" applyBorder="1" applyAlignment="1" applyProtection="1">
      <alignment horizontal="centerContinuous" vertical="center"/>
      <protection hidden="1"/>
    </xf>
    <xf numFmtId="0" fontId="3" fillId="13" borderId="107" xfId="0" applyFont="1" applyFill="1" applyBorder="1" applyAlignment="1">
      <alignment horizontal="left" vertical="top"/>
    </xf>
    <xf numFmtId="0" fontId="49" fillId="4" borderId="97" xfId="0" applyFont="1" applyFill="1" applyBorder="1" applyAlignment="1" applyProtection="1">
      <alignment horizontal="right" vertical="center"/>
      <protection hidden="1"/>
    </xf>
    <xf numFmtId="0" fontId="49" fillId="4" borderId="97" xfId="0" applyFont="1" applyFill="1" applyBorder="1" applyAlignment="1" applyProtection="1">
      <alignment horizontal="center"/>
      <protection locked="0" hidden="1"/>
    </xf>
    <xf numFmtId="0" fontId="49" fillId="4" borderId="101" xfId="0" applyFont="1" applyFill="1" applyBorder="1" applyAlignment="1">
      <alignment horizontal="left" vertical="center"/>
    </xf>
    <xf numFmtId="14" fontId="22" fillId="35" borderId="113" xfId="0" quotePrefix="1" applyNumberFormat="1" applyFont="1" applyFill="1" applyBorder="1" applyAlignment="1" applyProtection="1">
      <alignment horizontal="center" vertical="center"/>
      <protection hidden="1"/>
    </xf>
    <xf numFmtId="14" fontId="34" fillId="35" borderId="113" xfId="0" quotePrefix="1" applyNumberFormat="1" applyFont="1" applyFill="1" applyBorder="1" applyAlignment="1" applyProtection="1">
      <alignment horizontal="center" vertical="center"/>
      <protection hidden="1"/>
    </xf>
    <xf numFmtId="0" fontId="3" fillId="42" borderId="0" xfId="0" applyFont="1" applyFill="1" applyAlignment="1" applyProtection="1">
      <alignment vertical="center"/>
      <protection hidden="1"/>
    </xf>
    <xf numFmtId="0" fontId="3" fillId="42" borderId="0" xfId="0" applyFont="1" applyFill="1" applyAlignment="1" applyProtection="1">
      <alignment horizontal="centerContinuous" vertical="center"/>
      <protection hidden="1"/>
    </xf>
    <xf numFmtId="0" fontId="3" fillId="42" borderId="0" xfId="0" applyFont="1" applyFill="1" applyAlignment="1">
      <alignment horizontal="centerContinuous" vertical="center"/>
    </xf>
    <xf numFmtId="0" fontId="3" fillId="42" borderId="0" xfId="0" applyFont="1" applyFill="1" applyProtection="1">
      <protection hidden="1"/>
    </xf>
    <xf numFmtId="0" fontId="3" fillId="42" borderId="0" xfId="0" applyFont="1" applyFill="1" applyAlignment="1" applyProtection="1">
      <alignment horizontal="center"/>
      <protection hidden="1"/>
    </xf>
    <xf numFmtId="0" fontId="3" fillId="42" borderId="0" xfId="0" applyFont="1" applyFill="1" applyAlignment="1" applyProtection="1">
      <alignment horizontal="left"/>
      <protection hidden="1"/>
    </xf>
    <xf numFmtId="0" fontId="9" fillId="42" borderId="0" xfId="0" applyFont="1" applyFill="1" applyAlignment="1" applyProtection="1">
      <alignment horizontal="center"/>
      <protection hidden="1"/>
    </xf>
    <xf numFmtId="0" fontId="7" fillId="42" borderId="0" xfId="0" applyFont="1" applyFill="1" applyProtection="1">
      <protection hidden="1"/>
    </xf>
    <xf numFmtId="0" fontId="0" fillId="42" borderId="0" xfId="0" applyFill="1" applyAlignment="1" applyProtection="1">
      <alignment vertical="center"/>
      <protection hidden="1"/>
    </xf>
    <xf numFmtId="0" fontId="0" fillId="42" borderId="0" xfId="0" applyFill="1" applyProtection="1">
      <protection hidden="1"/>
    </xf>
    <xf numFmtId="14" fontId="7" fillId="42" borderId="0" xfId="0" applyNumberFormat="1" applyFont="1" applyFill="1" applyProtection="1">
      <protection hidden="1"/>
    </xf>
    <xf numFmtId="14" fontId="14" fillId="42" borderId="0" xfId="0" applyNumberFormat="1" applyFont="1" applyFill="1" applyProtection="1">
      <protection hidden="1"/>
    </xf>
    <xf numFmtId="14" fontId="7" fillId="42" borderId="0" xfId="0" applyNumberFormat="1" applyFont="1" applyFill="1" applyAlignment="1" applyProtection="1">
      <alignment horizontal="center" vertical="center"/>
      <protection hidden="1"/>
    </xf>
    <xf numFmtId="0" fontId="7" fillId="42" borderId="0" xfId="0" applyFont="1" applyFill="1" applyAlignment="1" applyProtection="1">
      <alignment horizontal="right"/>
      <protection hidden="1"/>
    </xf>
    <xf numFmtId="0" fontId="7" fillId="42" borderId="0" xfId="0" applyFont="1" applyFill="1" applyAlignment="1" applyProtection="1">
      <alignment wrapText="1"/>
      <protection hidden="1"/>
    </xf>
    <xf numFmtId="0" fontId="7" fillId="42" borderId="0" xfId="0" applyFont="1" applyFill="1" applyAlignment="1" applyProtection="1">
      <alignment horizontal="left"/>
      <protection hidden="1"/>
    </xf>
    <xf numFmtId="0" fontId="7" fillId="42" borderId="0" xfId="0" applyFont="1" applyFill="1" applyAlignment="1" applyProtection="1">
      <alignment horizontal="center" vertical="center"/>
      <protection hidden="1"/>
    </xf>
    <xf numFmtId="0" fontId="7" fillId="42" borderId="0" xfId="0" applyFont="1" applyFill="1" applyAlignment="1" applyProtection="1">
      <alignment horizontal="center" vertical="center" wrapText="1"/>
      <protection hidden="1"/>
    </xf>
    <xf numFmtId="0" fontId="4" fillId="42" borderId="0" xfId="0" applyFont="1" applyFill="1" applyProtection="1">
      <protection hidden="1"/>
    </xf>
    <xf numFmtId="0" fontId="8" fillId="42" borderId="0" xfId="0" applyFont="1" applyFill="1" applyAlignment="1" applyProtection="1">
      <alignment horizontal="center" vertical="center"/>
      <protection hidden="1"/>
    </xf>
    <xf numFmtId="0" fontId="4" fillId="42" borderId="0" xfId="0" applyFont="1" applyFill="1" applyAlignment="1" applyProtection="1">
      <alignment wrapText="1"/>
      <protection hidden="1"/>
    </xf>
    <xf numFmtId="0" fontId="4" fillId="42" borderId="0" xfId="0" applyFont="1" applyFill="1" applyAlignment="1" applyProtection="1">
      <alignment horizontal="center"/>
      <protection hidden="1"/>
    </xf>
    <xf numFmtId="0" fontId="19" fillId="42" borderId="0" xfId="0" applyFont="1" applyFill="1" applyAlignment="1" applyProtection="1">
      <alignment horizontal="center"/>
      <protection hidden="1"/>
    </xf>
    <xf numFmtId="0" fontId="31" fillId="42" borderId="0" xfId="0" applyFont="1" applyFill="1" applyAlignment="1" applyProtection="1">
      <alignment vertical="center"/>
      <protection hidden="1"/>
    </xf>
    <xf numFmtId="0" fontId="20" fillId="42" borderId="0" xfId="0" applyFont="1" applyFill="1" applyAlignment="1" applyProtection="1">
      <alignment vertical="center"/>
      <protection hidden="1"/>
    </xf>
    <xf numFmtId="0" fontId="8" fillId="42" borderId="0" xfId="0" applyFont="1" applyFill="1" applyAlignment="1" applyProtection="1">
      <alignment horizontal="center"/>
      <protection hidden="1"/>
    </xf>
    <xf numFmtId="0" fontId="10" fillId="42" borderId="0" xfId="0" applyFont="1" applyFill="1" applyAlignment="1" applyProtection="1">
      <alignment horizontal="center" vertical="center"/>
      <protection hidden="1"/>
    </xf>
    <xf numFmtId="0" fontId="30" fillId="42" borderId="0" xfId="0" applyFont="1" applyFill="1" applyAlignment="1" applyProtection="1">
      <alignment horizontal="center" vertical="center"/>
      <protection hidden="1"/>
    </xf>
    <xf numFmtId="0" fontId="28" fillId="42" borderId="0" xfId="0" applyFont="1" applyFill="1" applyAlignment="1" applyProtection="1">
      <alignment horizontal="center"/>
      <protection hidden="1"/>
    </xf>
    <xf numFmtId="0" fontId="31" fillId="42" borderId="0" xfId="0" applyFont="1" applyFill="1" applyAlignment="1" applyProtection="1">
      <alignment vertical="center" wrapText="1"/>
      <protection hidden="1"/>
    </xf>
    <xf numFmtId="0" fontId="16" fillId="42" borderId="0" xfId="0" applyFont="1" applyFill="1" applyAlignment="1" applyProtection="1">
      <alignment horizontal="center" vertical="center"/>
      <protection hidden="1"/>
    </xf>
    <xf numFmtId="0" fontId="21" fillId="42" borderId="0" xfId="0" applyFont="1" applyFill="1" applyAlignment="1" applyProtection="1">
      <alignment horizontal="center" vertical="center"/>
      <protection hidden="1"/>
    </xf>
    <xf numFmtId="0" fontId="0" fillId="42" borderId="0" xfId="0" applyFill="1"/>
    <xf numFmtId="0" fontId="24" fillId="42" borderId="0" xfId="0" applyFont="1" applyFill="1" applyProtection="1">
      <protection hidden="1"/>
    </xf>
    <xf numFmtId="0" fontId="11" fillId="42" borderId="0" xfId="0" applyFont="1" applyFill="1" applyAlignment="1">
      <alignment horizontal="center"/>
    </xf>
    <xf numFmtId="0" fontId="57" fillId="42" borderId="0" xfId="0" applyFont="1" applyFill="1" applyProtection="1">
      <protection hidden="1"/>
    </xf>
    <xf numFmtId="0" fontId="57" fillId="42" borderId="0" xfId="0" applyFont="1" applyFill="1" applyAlignment="1" applyProtection="1">
      <alignment vertical="center"/>
      <protection hidden="1"/>
    </xf>
    <xf numFmtId="0" fontId="58" fillId="42" borderId="0" xfId="0" applyFont="1" applyFill="1" applyProtection="1">
      <protection hidden="1"/>
    </xf>
    <xf numFmtId="0" fontId="59" fillId="42" borderId="0" xfId="0" applyFont="1" applyFill="1" applyAlignment="1" applyProtection="1">
      <alignment horizontal="left" vertical="center"/>
      <protection hidden="1"/>
    </xf>
    <xf numFmtId="0" fontId="59" fillId="42" borderId="0" xfId="0" applyFont="1" applyFill="1" applyAlignment="1">
      <alignment horizontal="center" vertical="center"/>
    </xf>
    <xf numFmtId="0" fontId="57" fillId="42" borderId="0" xfId="0" applyFont="1" applyFill="1" applyAlignment="1" applyProtection="1">
      <alignment horizontal="centerContinuous" vertical="center"/>
      <protection hidden="1"/>
    </xf>
    <xf numFmtId="0" fontId="57" fillId="42" borderId="0" xfId="0" applyFont="1" applyFill="1" applyAlignment="1" applyProtection="1">
      <alignment horizontal="left" vertical="center"/>
      <protection hidden="1"/>
    </xf>
    <xf numFmtId="0" fontId="58" fillId="0" borderId="0" xfId="0" applyFont="1" applyProtection="1">
      <protection hidden="1"/>
    </xf>
    <xf numFmtId="0" fontId="58" fillId="0" borderId="0" xfId="0" applyFont="1"/>
    <xf numFmtId="0" fontId="57" fillId="42" borderId="0" xfId="0" applyFont="1" applyFill="1" applyAlignment="1" applyProtection="1">
      <alignment horizontal="center"/>
      <protection hidden="1"/>
    </xf>
    <xf numFmtId="0" fontId="59" fillId="42" borderId="0" xfId="0" applyFont="1" applyFill="1" applyAlignment="1" applyProtection="1">
      <alignment horizontal="center" vertical="center"/>
      <protection hidden="1"/>
    </xf>
    <xf numFmtId="0" fontId="58" fillId="0" borderId="0" xfId="0" applyFont="1" applyAlignment="1">
      <alignment horizontal="center"/>
    </xf>
    <xf numFmtId="0" fontId="60" fillId="42" borderId="0" xfId="0" applyFont="1" applyFill="1" applyAlignment="1" applyProtection="1">
      <alignment horizontal="left"/>
      <protection hidden="1"/>
    </xf>
    <xf numFmtId="0" fontId="60" fillId="42" borderId="0" xfId="0" applyFont="1" applyFill="1" applyAlignment="1" applyProtection="1">
      <alignment vertical="center"/>
      <protection hidden="1"/>
    </xf>
    <xf numFmtId="14" fontId="58" fillId="42" borderId="0" xfId="0" applyNumberFormat="1" applyFont="1" applyFill="1" applyProtection="1">
      <protection hidden="1"/>
    </xf>
    <xf numFmtId="0" fontId="58" fillId="0" borderId="0" xfId="0" applyFont="1" applyAlignment="1" applyProtection="1">
      <alignment horizontal="center"/>
      <protection hidden="1"/>
    </xf>
    <xf numFmtId="0" fontId="61" fillId="42" borderId="0" xfId="0" applyFont="1" applyFill="1" applyAlignment="1" applyProtection="1">
      <alignment horizontal="left" vertical="center"/>
      <protection hidden="1"/>
    </xf>
    <xf numFmtId="0" fontId="61" fillId="42" borderId="0" xfId="0" applyFont="1" applyFill="1" applyAlignment="1">
      <alignment horizontal="left" vertical="center"/>
    </xf>
    <xf numFmtId="0" fontId="61" fillId="42" borderId="0" xfId="0" applyFont="1" applyFill="1" applyAlignment="1">
      <alignment horizontal="center" vertical="center"/>
    </xf>
    <xf numFmtId="0" fontId="58" fillId="42" borderId="0" xfId="0" applyFont="1" applyFill="1" applyAlignment="1" applyProtection="1">
      <alignment horizontal="centerContinuous" vertical="center"/>
      <protection hidden="1"/>
    </xf>
    <xf numFmtId="0" fontId="58" fillId="42" borderId="0" xfId="0" applyFont="1" applyFill="1"/>
    <xf numFmtId="0" fontId="58" fillId="42" borderId="0" xfId="0" applyFont="1" applyFill="1" applyAlignment="1" applyProtection="1">
      <alignment horizontal="left" vertical="center"/>
      <protection hidden="1"/>
    </xf>
    <xf numFmtId="0" fontId="49" fillId="0" borderId="83" xfId="0" applyFont="1" applyBorder="1" applyAlignment="1" applyProtection="1">
      <alignment horizontal="left" vertical="center"/>
      <protection hidden="1"/>
    </xf>
    <xf numFmtId="0" fontId="49" fillId="0" borderId="84" xfId="0" applyFont="1" applyBorder="1" applyAlignment="1" applyProtection="1">
      <alignment horizontal="center" vertical="center"/>
      <protection locked="0" hidden="1"/>
    </xf>
    <xf numFmtId="0" fontId="49" fillId="32" borderId="83" xfId="0" applyFont="1" applyFill="1" applyBorder="1" applyAlignment="1" applyProtection="1">
      <alignment horizontal="left" vertical="center"/>
      <protection hidden="1"/>
    </xf>
    <xf numFmtId="0" fontId="49" fillId="32" borderId="84" xfId="0" applyFont="1" applyFill="1" applyBorder="1" applyAlignment="1" applyProtection="1">
      <alignment horizontal="center" vertical="center"/>
      <protection locked="0" hidden="1"/>
    </xf>
    <xf numFmtId="0" fontId="49" fillId="32" borderId="85" xfId="0" applyFont="1" applyFill="1" applyBorder="1" applyAlignment="1" applyProtection="1">
      <alignment horizontal="left" vertical="center"/>
      <protection hidden="1"/>
    </xf>
    <xf numFmtId="0" fontId="49" fillId="32" borderId="86" xfId="0" applyFont="1" applyFill="1" applyBorder="1" applyAlignment="1" applyProtection="1">
      <alignment horizontal="center" vertical="center"/>
      <protection locked="0" hidden="1"/>
    </xf>
    <xf numFmtId="0" fontId="55" fillId="13" borderId="81" xfId="0" applyFont="1" applyFill="1" applyBorder="1" applyAlignment="1" applyProtection="1">
      <alignment horizontal="left" vertical="center"/>
      <protection hidden="1"/>
    </xf>
    <xf numFmtId="0" fontId="55" fillId="13" borderId="82" xfId="0" applyFont="1" applyFill="1" applyBorder="1" applyAlignment="1" applyProtection="1">
      <alignment horizontal="center" vertical="center"/>
      <protection hidden="1"/>
    </xf>
    <xf numFmtId="0" fontId="5" fillId="42" borderId="0" xfId="27" applyFill="1" applyAlignment="1" applyProtection="1">
      <alignment horizontal="center"/>
      <protection hidden="1"/>
    </xf>
    <xf numFmtId="0" fontId="63" fillId="42" borderId="0" xfId="0" applyFont="1" applyFill="1" applyAlignment="1" applyProtection="1">
      <alignment horizontal="center" vertical="center"/>
      <protection locked="0" hidden="1"/>
    </xf>
    <xf numFmtId="0" fontId="63" fillId="42" borderId="0" xfId="0" applyFont="1" applyFill="1" applyAlignment="1" applyProtection="1">
      <alignment horizontal="center" vertical="center"/>
      <protection hidden="1"/>
    </xf>
    <xf numFmtId="0" fontId="29" fillId="42" borderId="0" xfId="0" applyFont="1" applyFill="1" applyAlignment="1" applyProtection="1">
      <alignment horizontal="center"/>
      <protection hidden="1"/>
    </xf>
    <xf numFmtId="0" fontId="35" fillId="42" borderId="0" xfId="0" applyFont="1" applyFill="1" applyAlignment="1" applyProtection="1">
      <alignment horizontal="center" vertical="center"/>
      <protection hidden="1"/>
    </xf>
    <xf numFmtId="0" fontId="7" fillId="42" borderId="0" xfId="0" applyFont="1" applyFill="1" applyAlignment="1" applyProtection="1">
      <alignment horizontal="center"/>
      <protection hidden="1"/>
    </xf>
    <xf numFmtId="0" fontId="27" fillId="42" borderId="0" xfId="0" applyFont="1" applyFill="1" applyAlignment="1" applyProtection="1">
      <alignment horizontal="center" vertical="center"/>
      <protection locked="0" hidden="1"/>
    </xf>
    <xf numFmtId="0" fontId="49" fillId="4" borderId="97" xfId="0" applyFont="1" applyFill="1" applyBorder="1" applyAlignment="1" applyProtection="1">
      <alignment horizontal="center" vertical="center"/>
      <protection locked="0"/>
    </xf>
    <xf numFmtId="0" fontId="49" fillId="4" borderId="104" xfId="0" applyFont="1" applyFill="1" applyBorder="1" applyAlignment="1">
      <alignment vertical="center"/>
    </xf>
    <xf numFmtId="0" fontId="49" fillId="4" borderId="109" xfId="0" applyFont="1" applyFill="1" applyBorder="1" applyAlignment="1">
      <alignment vertical="center"/>
    </xf>
    <xf numFmtId="0" fontId="49" fillId="4" borderId="108" xfId="0" applyFont="1" applyFill="1" applyBorder="1" applyAlignment="1">
      <alignment vertical="center"/>
    </xf>
    <xf numFmtId="0" fontId="49" fillId="4" borderId="105" xfId="0" applyFont="1" applyFill="1" applyBorder="1" applyAlignment="1" applyProtection="1">
      <alignment vertical="center"/>
      <protection locked="0" hidden="1"/>
    </xf>
    <xf numFmtId="0" fontId="49" fillId="4" borderId="0" xfId="0" applyFont="1" applyFill="1" applyAlignment="1" applyProtection="1">
      <alignment vertical="center"/>
      <protection locked="0" hidden="1"/>
    </xf>
    <xf numFmtId="0" fontId="49" fillId="4" borderId="97" xfId="0" applyFont="1" applyFill="1" applyBorder="1" applyAlignment="1" applyProtection="1">
      <alignment vertical="center"/>
      <protection locked="0" hidden="1"/>
    </xf>
    <xf numFmtId="0" fontId="40" fillId="42" borderId="123" xfId="27" applyFont="1" applyFill="1" applyBorder="1" applyAlignment="1">
      <alignment vertical="center"/>
    </xf>
    <xf numFmtId="0" fontId="3" fillId="42" borderId="20" xfId="0" applyFont="1" applyFill="1" applyBorder="1" applyAlignment="1" applyProtection="1">
      <alignment horizontal="centerContinuous" vertical="center"/>
      <protection hidden="1"/>
    </xf>
    <xf numFmtId="0" fontId="46" fillId="42" borderId="122" xfId="27" applyFont="1" applyFill="1" applyBorder="1" applyAlignment="1">
      <alignment vertical="center"/>
    </xf>
    <xf numFmtId="0" fontId="49" fillId="0" borderId="0" xfId="90" applyFont="1" applyProtection="1">
      <protection hidden="1"/>
    </xf>
    <xf numFmtId="0" fontId="49" fillId="0" borderId="0" xfId="90" applyFont="1"/>
    <xf numFmtId="0" fontId="49" fillId="0" borderId="0" xfId="90" applyFont="1" applyAlignment="1" applyProtection="1">
      <alignment vertical="top" wrapText="1"/>
      <protection hidden="1"/>
    </xf>
    <xf numFmtId="0" fontId="50" fillId="0" borderId="0" xfId="90" applyFont="1" applyAlignment="1" applyProtection="1">
      <alignment vertical="top"/>
      <protection hidden="1"/>
    </xf>
    <xf numFmtId="0" fontId="49" fillId="0" borderId="0" xfId="90" applyFont="1" applyAlignment="1" applyProtection="1">
      <alignment vertical="top"/>
      <protection hidden="1"/>
    </xf>
    <xf numFmtId="0" fontId="49" fillId="0" borderId="0" xfId="90" applyFont="1" applyAlignment="1" applyProtection="1">
      <alignment vertical="center" wrapText="1"/>
      <protection hidden="1"/>
    </xf>
    <xf numFmtId="0" fontId="49" fillId="0" borderId="0" xfId="27" applyFont="1" applyFill="1" applyProtection="1">
      <protection hidden="1"/>
    </xf>
    <xf numFmtId="0" fontId="49" fillId="0" borderId="0" xfId="27" applyFont="1" applyFill="1"/>
    <xf numFmtId="0" fontId="23" fillId="42" borderId="124" xfId="90" applyFill="1" applyBorder="1"/>
    <xf numFmtId="0" fontId="23" fillId="42" borderId="125" xfId="90" applyFill="1" applyBorder="1"/>
    <xf numFmtId="0" fontId="23" fillId="42" borderId="126" xfId="90" applyFill="1" applyBorder="1"/>
    <xf numFmtId="0" fontId="49" fillId="42" borderId="0" xfId="27" applyFont="1" applyFill="1" applyBorder="1" applyAlignment="1" applyProtection="1">
      <alignment vertical="center"/>
      <protection hidden="1"/>
    </xf>
    <xf numFmtId="0" fontId="49" fillId="42" borderId="0" xfId="90" applyFont="1" applyFill="1" applyAlignment="1" applyProtection="1">
      <alignment vertical="center"/>
      <protection hidden="1"/>
    </xf>
    <xf numFmtId="0" fontId="49" fillId="42" borderId="0" xfId="90" applyFont="1" applyFill="1" applyAlignment="1" applyProtection="1">
      <alignment vertical="center" wrapText="1"/>
      <protection hidden="1"/>
    </xf>
    <xf numFmtId="0" fontId="49" fillId="42" borderId="128" xfId="90" applyFont="1" applyFill="1" applyBorder="1" applyAlignment="1" applyProtection="1">
      <alignment vertical="center" wrapText="1"/>
      <protection hidden="1"/>
    </xf>
    <xf numFmtId="14" fontId="49" fillId="42" borderId="0" xfId="90" applyNumberFormat="1" applyFont="1" applyFill="1" applyAlignment="1" applyProtection="1">
      <alignment horizontal="left" vertical="top"/>
      <protection hidden="1"/>
    </xf>
    <xf numFmtId="0" fontId="49" fillId="42" borderId="0" xfId="90" applyFont="1" applyFill="1" applyAlignment="1" applyProtection="1">
      <alignment vertical="top"/>
      <protection hidden="1"/>
    </xf>
    <xf numFmtId="0" fontId="49" fillId="42" borderId="0" xfId="90" applyFont="1" applyFill="1" applyAlignment="1" applyProtection="1">
      <alignment vertical="top" wrapText="1"/>
      <protection hidden="1"/>
    </xf>
    <xf numFmtId="0" fontId="49" fillId="42" borderId="128" xfId="90" applyFont="1" applyFill="1" applyBorder="1"/>
    <xf numFmtId="0" fontId="49" fillId="42" borderId="129" xfId="90" applyFont="1" applyFill="1" applyBorder="1" applyProtection="1">
      <protection hidden="1"/>
    </xf>
    <xf numFmtId="0" fontId="49" fillId="42" borderId="130" xfId="90" applyFont="1" applyFill="1" applyBorder="1" applyProtection="1">
      <protection hidden="1"/>
    </xf>
    <xf numFmtId="0" fontId="49" fillId="42" borderId="131" xfId="90" applyFont="1" applyFill="1" applyBorder="1" applyProtection="1">
      <protection hidden="1"/>
    </xf>
    <xf numFmtId="0" fontId="49" fillId="42" borderId="124" xfId="90" applyFont="1" applyFill="1" applyBorder="1" applyAlignment="1" applyProtection="1">
      <alignment horizontal="right"/>
      <protection hidden="1"/>
    </xf>
    <xf numFmtId="0" fontId="49" fillId="42" borderId="125" xfId="90" applyFont="1" applyFill="1" applyBorder="1" applyAlignment="1" applyProtection="1">
      <alignment horizontal="left"/>
      <protection hidden="1"/>
    </xf>
    <xf numFmtId="0" fontId="49" fillId="42" borderId="125" xfId="90" applyFont="1" applyFill="1" applyBorder="1" applyAlignment="1" applyProtection="1">
      <alignment horizontal="right"/>
      <protection hidden="1"/>
    </xf>
    <xf numFmtId="0" fontId="49" fillId="42" borderId="125" xfId="90" applyFont="1" applyFill="1" applyBorder="1"/>
    <xf numFmtId="0" fontId="49" fillId="42" borderId="126" xfId="90" applyFont="1" applyFill="1" applyBorder="1"/>
    <xf numFmtId="0" fontId="49" fillId="42" borderId="0" xfId="90" applyFont="1" applyFill="1"/>
    <xf numFmtId="0" fontId="49" fillId="42" borderId="129" xfId="90" applyFont="1" applyFill="1" applyBorder="1"/>
    <xf numFmtId="0" fontId="49" fillId="42" borderId="130" xfId="90" applyFont="1" applyFill="1" applyBorder="1"/>
    <xf numFmtId="0" fontId="49" fillId="42" borderId="131" xfId="90" applyFont="1" applyFill="1" applyBorder="1"/>
    <xf numFmtId="0" fontId="23" fillId="42" borderId="127" xfId="90" applyFill="1" applyBorder="1"/>
    <xf numFmtId="0" fontId="49" fillId="0" borderId="0" xfId="90" applyFont="1" applyAlignment="1">
      <alignment vertical="center"/>
    </xf>
    <xf numFmtId="0" fontId="23" fillId="42" borderId="127" xfId="90" applyFill="1" applyBorder="1" applyAlignment="1">
      <alignment vertical="center"/>
    </xf>
    <xf numFmtId="0" fontId="49" fillId="42" borderId="0" xfId="90" applyFont="1" applyFill="1" applyAlignment="1">
      <alignment vertical="center"/>
    </xf>
    <xf numFmtId="0" fontId="49" fillId="42" borderId="128" xfId="90" applyFont="1" applyFill="1" applyBorder="1" applyAlignment="1">
      <alignment vertical="center"/>
    </xf>
    <xf numFmtId="0" fontId="23" fillId="0" borderId="0" xfId="90" applyAlignment="1">
      <alignment vertical="center"/>
    </xf>
    <xf numFmtId="0" fontId="23" fillId="2" borderId="0" xfId="90" applyFill="1" applyAlignment="1">
      <alignment vertical="center"/>
    </xf>
    <xf numFmtId="0" fontId="49" fillId="42" borderId="57" xfId="90" applyFont="1" applyFill="1" applyBorder="1" applyAlignment="1" applyProtection="1">
      <alignment vertical="center"/>
      <protection hidden="1"/>
    </xf>
    <xf numFmtId="0" fontId="51" fillId="0" borderId="0" xfId="90" applyFont="1" applyAlignment="1" applyProtection="1">
      <alignment vertical="top"/>
      <protection hidden="1"/>
    </xf>
    <xf numFmtId="0" fontId="51" fillId="42" borderId="127" xfId="90" applyFont="1" applyFill="1" applyBorder="1" applyAlignment="1" applyProtection="1">
      <alignment horizontal="right" vertical="center"/>
      <protection hidden="1"/>
    </xf>
    <xf numFmtId="0" fontId="51" fillId="42" borderId="127" xfId="90" applyFont="1" applyFill="1" applyBorder="1" applyAlignment="1" applyProtection="1">
      <alignment horizontal="right" vertical="top"/>
      <protection hidden="1"/>
    </xf>
    <xf numFmtId="0" fontId="51" fillId="42" borderId="0" xfId="90" applyFont="1" applyFill="1" applyAlignment="1" applyProtection="1">
      <alignment horizontal="left" vertical="center"/>
      <protection hidden="1"/>
    </xf>
    <xf numFmtId="0" fontId="51" fillId="42" borderId="0" xfId="90" applyFont="1" applyFill="1" applyAlignment="1" applyProtection="1">
      <alignment horizontal="center" vertical="center"/>
      <protection hidden="1"/>
    </xf>
    <xf numFmtId="0" fontId="5" fillId="0" borderId="57" xfId="27" applyFill="1" applyBorder="1" applyAlignment="1" applyProtection="1">
      <alignment horizontal="center" vertical="center"/>
      <protection hidden="1"/>
    </xf>
    <xf numFmtId="0" fontId="62" fillId="0" borderId="57" xfId="27" applyFont="1" applyFill="1" applyBorder="1" applyAlignment="1" applyProtection="1">
      <alignment horizontal="center" vertical="center"/>
      <protection hidden="1"/>
    </xf>
    <xf numFmtId="0" fontId="49" fillId="0" borderId="57" xfId="90" applyFont="1" applyBorder="1" applyAlignment="1" applyProtection="1">
      <alignment horizontal="center" vertical="center"/>
      <protection hidden="1"/>
    </xf>
    <xf numFmtId="0" fontId="49" fillId="42" borderId="132" xfId="90" applyFont="1" applyFill="1" applyBorder="1" applyAlignment="1" applyProtection="1">
      <alignment vertical="center"/>
      <protection hidden="1"/>
    </xf>
    <xf numFmtId="0" fontId="49" fillId="42" borderId="0" xfId="0" applyFont="1" applyFill="1" applyAlignment="1" applyProtection="1">
      <alignment horizontal="left"/>
      <protection hidden="1"/>
    </xf>
    <xf numFmtId="14" fontId="49" fillId="42" borderId="0" xfId="0" applyNumberFormat="1" applyFont="1" applyFill="1" applyProtection="1">
      <protection hidden="1"/>
    </xf>
    <xf numFmtId="14" fontId="49" fillId="42" borderId="0" xfId="0" applyNumberFormat="1" applyFont="1" applyFill="1" applyAlignment="1" applyProtection="1">
      <alignment horizontal="right"/>
      <protection hidden="1"/>
    </xf>
    <xf numFmtId="0" fontId="49" fillId="4" borderId="133" xfId="0" applyFont="1" applyFill="1" applyBorder="1" applyAlignment="1" applyProtection="1">
      <alignment horizontal="center"/>
      <protection locked="0"/>
    </xf>
    <xf numFmtId="0" fontId="41" fillId="42" borderId="0" xfId="27" applyFont="1" applyFill="1" applyBorder="1" applyAlignment="1" applyProtection="1">
      <alignment vertical="center" wrapText="1"/>
      <protection hidden="1"/>
    </xf>
    <xf numFmtId="14" fontId="49" fillId="42" borderId="0" xfId="0" applyNumberFormat="1" applyFont="1" applyFill="1" applyAlignment="1" applyProtection="1">
      <alignment horizontal="left"/>
      <protection hidden="1"/>
    </xf>
    <xf numFmtId="0" fontId="48" fillId="4" borderId="39" xfId="0" applyFont="1" applyFill="1" applyBorder="1" applyAlignment="1" applyProtection="1">
      <alignment horizontal="center" vertical="center"/>
      <protection hidden="1"/>
    </xf>
    <xf numFmtId="0" fontId="48" fillId="4" borderId="48" xfId="0" applyFont="1" applyFill="1" applyBorder="1" applyAlignment="1" applyProtection="1">
      <alignment horizontal="center" vertical="center"/>
      <protection hidden="1"/>
    </xf>
    <xf numFmtId="0" fontId="48" fillId="4" borderId="60" xfId="0" applyFont="1" applyFill="1" applyBorder="1" applyAlignment="1" applyProtection="1">
      <alignment horizontal="center" vertical="center"/>
      <protection hidden="1"/>
    </xf>
    <xf numFmtId="0" fontId="48" fillId="4" borderId="61" xfId="0" applyFont="1" applyFill="1" applyBorder="1" applyAlignment="1" applyProtection="1">
      <alignment horizontal="center" vertical="center"/>
      <protection hidden="1"/>
    </xf>
    <xf numFmtId="0" fontId="48" fillId="4" borderId="112" xfId="0" applyFont="1" applyFill="1" applyBorder="1" applyAlignment="1" applyProtection="1">
      <alignment horizontal="center" vertical="center"/>
      <protection hidden="1"/>
    </xf>
    <xf numFmtId="0" fontId="48" fillId="4" borderId="97" xfId="0" applyFont="1" applyFill="1" applyBorder="1" applyAlignment="1" applyProtection="1">
      <alignment horizontal="center" vertical="center"/>
      <protection hidden="1"/>
    </xf>
    <xf numFmtId="0" fontId="66" fillId="42" borderId="0" xfId="0" applyFont="1" applyFill="1" applyAlignment="1" applyProtection="1">
      <alignment vertical="center"/>
      <protection hidden="1"/>
    </xf>
    <xf numFmtId="0" fontId="36" fillId="42" borderId="0" xfId="0" applyFont="1" applyFill="1" applyAlignment="1">
      <alignment vertical="center"/>
    </xf>
    <xf numFmtId="0" fontId="67" fillId="3" borderId="141" xfId="0" applyFont="1" applyFill="1" applyBorder="1" applyAlignment="1">
      <alignment horizontal="center" vertical="center"/>
    </xf>
    <xf numFmtId="0" fontId="47" fillId="2" borderId="139" xfId="0" applyFont="1" applyFill="1" applyBorder="1" applyAlignment="1" applyProtection="1">
      <alignment horizontal="left" vertical="center"/>
      <protection locked="0" hidden="1"/>
    </xf>
    <xf numFmtId="0" fontId="25" fillId="42" borderId="28" xfId="0" applyFont="1" applyFill="1" applyBorder="1" applyProtection="1">
      <protection hidden="1"/>
    </xf>
    <xf numFmtId="0" fontId="25" fillId="42" borderId="0" xfId="0" applyFont="1" applyFill="1" applyProtection="1">
      <protection hidden="1"/>
    </xf>
    <xf numFmtId="0" fontId="25" fillId="42" borderId="26" xfId="0" applyFont="1" applyFill="1" applyBorder="1" applyProtection="1">
      <protection hidden="1"/>
    </xf>
    <xf numFmtId="0" fontId="25" fillId="42" borderId="27" xfId="0" applyFont="1" applyFill="1" applyBorder="1" applyProtection="1">
      <protection hidden="1"/>
    </xf>
    <xf numFmtId="0" fontId="75" fillId="44" borderId="141" xfId="0" applyFont="1" applyFill="1" applyBorder="1" applyAlignment="1" applyProtection="1">
      <alignment horizontal="center" vertical="center" wrapText="1"/>
      <protection locked="0" hidden="1"/>
    </xf>
    <xf numFmtId="0" fontId="72" fillId="3" borderId="140" xfId="0" applyFont="1" applyFill="1" applyBorder="1" applyAlignment="1" applyProtection="1">
      <alignment horizontal="center" vertical="center"/>
      <protection locked="0" hidden="1"/>
    </xf>
    <xf numFmtId="0" fontId="64" fillId="42" borderId="122" xfId="27" applyFont="1" applyFill="1" applyBorder="1" applyAlignment="1" applyProtection="1">
      <alignment vertical="center"/>
      <protection hidden="1"/>
    </xf>
    <xf numFmtId="0" fontId="71" fillId="45" borderId="136" xfId="0" applyFont="1" applyFill="1" applyBorder="1" applyAlignment="1" applyProtection="1">
      <alignment horizontal="center" vertical="center"/>
      <protection hidden="1"/>
    </xf>
    <xf numFmtId="0" fontId="36" fillId="42" borderId="0" xfId="0" applyFont="1" applyFill="1" applyProtection="1">
      <protection hidden="1"/>
    </xf>
    <xf numFmtId="0" fontId="36" fillId="0" borderId="0" xfId="0" applyFont="1" applyProtection="1">
      <protection hidden="1"/>
    </xf>
    <xf numFmtId="0" fontId="74" fillId="42" borderId="0" xfId="0" applyFont="1" applyFill="1" applyProtection="1">
      <protection hidden="1"/>
    </xf>
    <xf numFmtId="0" fontId="36" fillId="42" borderId="0" xfId="0" applyFont="1" applyFill="1" applyAlignment="1" applyProtection="1">
      <alignment horizontal="center" vertical="center"/>
      <protection hidden="1"/>
    </xf>
    <xf numFmtId="0" fontId="37" fillId="42" borderId="0" xfId="27" applyFont="1" applyFill="1" applyProtection="1">
      <protection hidden="1"/>
    </xf>
    <xf numFmtId="0" fontId="46" fillId="42" borderId="0" xfId="0" applyFont="1" applyFill="1" applyProtection="1">
      <protection hidden="1"/>
    </xf>
    <xf numFmtId="0" fontId="36" fillId="42" borderId="0" xfId="0" applyFont="1" applyFill="1" applyAlignment="1" applyProtection="1">
      <alignment horizontal="center"/>
      <protection hidden="1"/>
    </xf>
    <xf numFmtId="0" fontId="38" fillId="42" borderId="0" xfId="0" applyFont="1" applyFill="1" applyAlignment="1" applyProtection="1">
      <alignment horizontal="center"/>
      <protection hidden="1"/>
    </xf>
    <xf numFmtId="0" fontId="36" fillId="42" borderId="0" xfId="0" applyFont="1" applyFill="1" applyAlignment="1" applyProtection="1">
      <alignment horizontal="center" wrapText="1"/>
      <protection hidden="1"/>
    </xf>
    <xf numFmtId="0" fontId="73" fillId="43" borderId="138" xfId="0" applyFont="1" applyFill="1" applyBorder="1" applyAlignment="1" applyProtection="1">
      <alignment horizontal="center" vertical="center"/>
      <protection hidden="1"/>
    </xf>
    <xf numFmtId="0" fontId="39" fillId="42" borderId="0" xfId="0" applyFont="1" applyFill="1" applyAlignment="1" applyProtection="1">
      <alignment horizontal="left"/>
      <protection hidden="1"/>
    </xf>
    <xf numFmtId="0" fontId="40" fillId="42" borderId="0" xfId="0" applyFont="1" applyFill="1" applyProtection="1">
      <protection hidden="1"/>
    </xf>
    <xf numFmtId="0" fontId="42" fillId="42" borderId="0" xfId="0" applyFont="1" applyFill="1" applyProtection="1">
      <protection hidden="1"/>
    </xf>
    <xf numFmtId="0" fontId="36" fillId="42" borderId="135" xfId="0" applyFont="1" applyFill="1" applyBorder="1" applyAlignment="1" applyProtection="1">
      <alignment horizontal="center" vertical="center"/>
      <protection hidden="1"/>
    </xf>
    <xf numFmtId="0" fontId="67" fillId="3" borderId="141" xfId="0" applyFont="1" applyFill="1" applyBorder="1" applyAlignment="1" applyProtection="1">
      <alignment horizontal="center" vertical="center"/>
      <protection hidden="1"/>
    </xf>
    <xf numFmtId="0" fontId="69" fillId="42" borderId="0" xfId="0" applyFont="1" applyFill="1" applyAlignment="1" applyProtection="1">
      <alignment horizontal="center" vertical="center"/>
      <protection hidden="1"/>
    </xf>
    <xf numFmtId="0" fontId="70" fillId="42" borderId="0" xfId="0" applyFont="1" applyFill="1" applyAlignment="1" applyProtection="1">
      <alignment horizontal="center" vertical="center"/>
      <protection hidden="1"/>
    </xf>
    <xf numFmtId="0" fontId="68" fillId="42" borderId="0" xfId="0" applyFont="1" applyFill="1" applyAlignment="1" applyProtection="1">
      <alignment horizontal="center" vertical="center"/>
      <protection hidden="1"/>
    </xf>
    <xf numFmtId="0" fontId="44" fillId="42" borderId="0" xfId="27" applyFont="1" applyFill="1" applyAlignment="1" applyProtection="1">
      <alignment horizontal="left" vertical="center"/>
      <protection hidden="1"/>
    </xf>
    <xf numFmtId="0" fontId="43" fillId="41" borderId="96" xfId="27" applyFont="1" applyFill="1" applyBorder="1" applyAlignment="1" applyProtection="1">
      <alignment horizontal="center" vertical="center"/>
      <protection hidden="1"/>
    </xf>
    <xf numFmtId="0" fontId="40" fillId="42" borderId="0" xfId="0" applyFont="1" applyFill="1" applyAlignment="1" applyProtection="1">
      <alignment horizontal="center" vertical="center"/>
      <protection hidden="1"/>
    </xf>
    <xf numFmtId="0" fontId="36" fillId="0" borderId="0" xfId="0" applyFont="1" applyAlignment="1" applyProtection="1">
      <alignment horizontal="center" vertical="center"/>
      <protection hidden="1"/>
    </xf>
    <xf numFmtId="0" fontId="65" fillId="42" borderId="0" xfId="0" applyFont="1" applyFill="1" applyProtection="1">
      <protection hidden="1"/>
    </xf>
    <xf numFmtId="0" fontId="77" fillId="42" borderId="125" xfId="90" applyFont="1" applyFill="1" applyBorder="1" applyAlignment="1" applyProtection="1">
      <alignment horizontal="left"/>
      <protection hidden="1"/>
    </xf>
    <xf numFmtId="0" fontId="79" fillId="42" borderId="27" xfId="0" applyFont="1" applyFill="1" applyBorder="1" applyAlignment="1" applyProtection="1">
      <alignment horizontal="center"/>
      <protection hidden="1"/>
    </xf>
    <xf numFmtId="0" fontId="82" fillId="42" borderId="0" xfId="0" applyFont="1" applyFill="1" applyAlignment="1" applyProtection="1">
      <alignment horizontal="center" vertical="center"/>
      <protection hidden="1"/>
    </xf>
    <xf numFmtId="0" fontId="15" fillId="42" borderId="0" xfId="0" applyFont="1" applyFill="1" applyProtection="1">
      <protection hidden="1"/>
    </xf>
    <xf numFmtId="0" fontId="15" fillId="42" borderId="0" xfId="0" applyFont="1" applyFill="1" applyAlignment="1" applyProtection="1">
      <alignment vertical="center"/>
      <protection hidden="1"/>
    </xf>
    <xf numFmtId="0" fontId="15" fillId="42" borderId="0" xfId="0" applyFont="1" applyFill="1" applyAlignment="1" applyProtection="1">
      <alignment horizontal="center" vertical="center"/>
      <protection hidden="1"/>
    </xf>
    <xf numFmtId="0" fontId="82" fillId="42" borderId="0" xfId="0" applyFont="1" applyFill="1" applyAlignment="1">
      <alignment horizontal="center" vertical="center"/>
    </xf>
    <xf numFmtId="0" fontId="15" fillId="42" borderId="0" xfId="0" applyFont="1" applyFill="1" applyAlignment="1">
      <alignment horizontal="center" vertical="center"/>
    </xf>
    <xf numFmtId="0" fontId="15" fillId="42" borderId="0" xfId="0" applyFont="1" applyFill="1" applyAlignment="1" applyProtection="1">
      <alignment horizontal="left" vertical="center"/>
      <protection hidden="1"/>
    </xf>
    <xf numFmtId="0" fontId="83" fillId="42" borderId="0" xfId="0" applyFont="1" applyFill="1" applyAlignment="1" applyProtection="1">
      <alignment horizontal="center" vertical="center"/>
      <protection hidden="1"/>
    </xf>
    <xf numFmtId="0" fontId="83" fillId="42" borderId="0" xfId="0" applyFont="1" applyFill="1" applyAlignment="1" applyProtection="1">
      <alignment horizontal="center"/>
      <protection hidden="1"/>
    </xf>
    <xf numFmtId="0" fontId="57" fillId="42" borderId="0" xfId="0" applyFont="1" applyFill="1" applyAlignment="1" applyProtection="1">
      <alignment horizontal="center" vertical="center"/>
      <protection hidden="1"/>
    </xf>
    <xf numFmtId="0" fontId="60" fillId="42" borderId="0" xfId="0" applyFont="1" applyFill="1" applyAlignment="1" applyProtection="1">
      <alignment horizontal="center"/>
      <protection hidden="1"/>
    </xf>
    <xf numFmtId="0" fontId="58" fillId="42" borderId="0" xfId="0" applyFont="1" applyFill="1" applyAlignment="1" applyProtection="1">
      <alignment horizontal="center"/>
      <protection hidden="1"/>
    </xf>
    <xf numFmtId="0" fontId="50" fillId="42" borderId="0" xfId="0" applyFont="1" applyFill="1" applyProtection="1">
      <protection hidden="1"/>
    </xf>
    <xf numFmtId="14" fontId="49" fillId="42" borderId="0" xfId="0" applyNumberFormat="1" applyFont="1" applyFill="1" applyAlignment="1" applyProtection="1">
      <alignment horizontal="center"/>
      <protection hidden="1"/>
    </xf>
    <xf numFmtId="0" fontId="49" fillId="42" borderId="127" xfId="90" applyFont="1" applyFill="1" applyBorder="1" applyAlignment="1" applyProtection="1">
      <alignment vertical="center"/>
      <protection hidden="1"/>
    </xf>
    <xf numFmtId="0" fontId="49" fillId="42" borderId="124" xfId="90" applyFont="1" applyFill="1" applyBorder="1" applyAlignment="1" applyProtection="1">
      <alignment vertical="center"/>
      <protection hidden="1"/>
    </xf>
    <xf numFmtId="0" fontId="49" fillId="42" borderId="125" xfId="90" applyFont="1" applyFill="1" applyBorder="1" applyAlignment="1" applyProtection="1">
      <alignment vertical="center"/>
      <protection hidden="1"/>
    </xf>
    <xf numFmtId="0" fontId="49" fillId="42" borderId="126" xfId="90" applyFont="1" applyFill="1" applyBorder="1" applyAlignment="1" applyProtection="1">
      <alignment vertical="center"/>
      <protection hidden="1"/>
    </xf>
    <xf numFmtId="0" fontId="49" fillId="42" borderId="128" xfId="90" applyFont="1" applyFill="1" applyBorder="1" applyAlignment="1" applyProtection="1">
      <alignment vertical="center"/>
      <protection hidden="1"/>
    </xf>
    <xf numFmtId="0" fontId="49" fillId="42" borderId="129" xfId="90" applyFont="1" applyFill="1" applyBorder="1" applyAlignment="1" applyProtection="1">
      <alignment vertical="center"/>
      <protection hidden="1"/>
    </xf>
    <xf numFmtId="0" fontId="49" fillId="42" borderId="130" xfId="90" applyFont="1" applyFill="1" applyBorder="1" applyAlignment="1" applyProtection="1">
      <alignment vertical="center"/>
      <protection hidden="1"/>
    </xf>
    <xf numFmtId="0" fontId="49" fillId="42" borderId="131" xfId="90" applyFont="1" applyFill="1" applyBorder="1" applyAlignment="1" applyProtection="1">
      <alignment vertical="center"/>
      <protection hidden="1"/>
    </xf>
    <xf numFmtId="0" fontId="51" fillId="0" borderId="0" xfId="90" applyFont="1" applyProtection="1">
      <protection hidden="1"/>
    </xf>
    <xf numFmtId="0" fontId="49" fillId="0" borderId="153" xfId="0" applyFont="1" applyBorder="1" applyProtection="1">
      <protection locked="0" hidden="1"/>
    </xf>
    <xf numFmtId="0" fontId="49" fillId="0" borderId="51" xfId="0" applyFont="1" applyBorder="1" applyProtection="1">
      <protection locked="0" hidden="1"/>
    </xf>
    <xf numFmtId="0" fontId="49" fillId="0" borderId="64" xfId="0" applyFont="1" applyBorder="1" applyProtection="1">
      <protection locked="0" hidden="1"/>
    </xf>
    <xf numFmtId="0" fontId="49" fillId="0" borderId="63" xfId="0" applyFont="1" applyBorder="1" applyProtection="1">
      <protection locked="0" hidden="1"/>
    </xf>
    <xf numFmtId="0" fontId="49" fillId="0" borderId="0" xfId="0" applyFont="1" applyProtection="1">
      <protection locked="0" hidden="1"/>
    </xf>
    <xf numFmtId="0" fontId="49" fillId="0" borderId="63" xfId="0" quotePrefix="1" applyFont="1" applyBorder="1" applyProtection="1">
      <protection locked="0" hidden="1"/>
    </xf>
    <xf numFmtId="0" fontId="49" fillId="9" borderId="0" xfId="0" applyFont="1" applyFill="1" applyAlignment="1">
      <alignment horizontal="left" vertical="center" wrapText="1"/>
    </xf>
    <xf numFmtId="0" fontId="49" fillId="0" borderId="0" xfId="0" applyFont="1" applyProtection="1">
      <protection hidden="1"/>
    </xf>
    <xf numFmtId="0" fontId="80" fillId="0" borderId="0" xfId="0" applyFont="1" applyProtection="1">
      <protection hidden="1"/>
    </xf>
    <xf numFmtId="0" fontId="50" fillId="13" borderId="0" xfId="0" applyFont="1" applyFill="1" applyAlignment="1" applyProtection="1">
      <alignment horizontal="center" vertical="center"/>
      <protection hidden="1"/>
    </xf>
    <xf numFmtId="0" fontId="49" fillId="13" borderId="0" xfId="0" applyFont="1" applyFill="1" applyProtection="1">
      <protection hidden="1"/>
    </xf>
    <xf numFmtId="0" fontId="49" fillId="4" borderId="0" xfId="0" applyFont="1" applyFill="1" applyProtection="1">
      <protection hidden="1"/>
    </xf>
    <xf numFmtId="0" fontId="85" fillId="0" borderId="0" xfId="0" applyFont="1" applyProtection="1">
      <protection hidden="1"/>
    </xf>
    <xf numFmtId="0" fontId="49" fillId="3" borderId="0" xfId="0" applyFont="1" applyFill="1" applyProtection="1">
      <protection hidden="1"/>
    </xf>
    <xf numFmtId="0" fontId="49" fillId="0" borderId="63" xfId="0" applyFont="1" applyBorder="1" applyProtection="1">
      <protection hidden="1"/>
    </xf>
    <xf numFmtId="0" fontId="49" fillId="0" borderId="63" xfId="0" quotePrefix="1" applyFont="1" applyBorder="1" applyProtection="1">
      <protection hidden="1"/>
    </xf>
    <xf numFmtId="14" fontId="87" fillId="3" borderId="0" xfId="0" quotePrefix="1" applyNumberFormat="1" applyFont="1" applyFill="1" applyAlignment="1" applyProtection="1">
      <alignment horizontal="center" vertical="center"/>
      <protection hidden="1"/>
    </xf>
    <xf numFmtId="0" fontId="88" fillId="3" borderId="0" xfId="0" applyFont="1" applyFill="1" applyAlignment="1" applyProtection="1">
      <alignment horizontal="left" vertical="center"/>
      <protection hidden="1"/>
    </xf>
    <xf numFmtId="0" fontId="89" fillId="3" borderId="0" xfId="0" applyFont="1" applyFill="1" applyAlignment="1" applyProtection="1">
      <alignment horizontal="left" vertical="center"/>
      <protection hidden="1"/>
    </xf>
    <xf numFmtId="0" fontId="88" fillId="13" borderId="0" xfId="0" applyFont="1" applyFill="1" applyAlignment="1" applyProtection="1">
      <alignment horizontal="left" vertical="center"/>
      <protection hidden="1"/>
    </xf>
    <xf numFmtId="0" fontId="89" fillId="13" borderId="0" xfId="0" applyFont="1" applyFill="1" applyAlignment="1" applyProtection="1">
      <alignment horizontal="left" vertical="center"/>
      <protection hidden="1"/>
    </xf>
    <xf numFmtId="0" fontId="90" fillId="42" borderId="27" xfId="0" applyFont="1" applyFill="1" applyBorder="1" applyProtection="1">
      <protection hidden="1"/>
    </xf>
    <xf numFmtId="0" fontId="90" fillId="42" borderId="0" xfId="0" applyFont="1" applyFill="1" applyProtection="1">
      <protection hidden="1"/>
    </xf>
    <xf numFmtId="0" fontId="49" fillId="0" borderId="0" xfId="0" applyFont="1"/>
    <xf numFmtId="0" fontId="49" fillId="2" borderId="0" xfId="0" applyFont="1" applyFill="1"/>
    <xf numFmtId="0" fontId="88" fillId="5" borderId="0" xfId="0" applyFont="1" applyFill="1" applyAlignment="1" applyProtection="1">
      <alignment horizontal="left" vertical="center"/>
      <protection hidden="1"/>
    </xf>
    <xf numFmtId="0" fontId="49" fillId="2" borderId="22" xfId="0" applyFont="1" applyFill="1" applyBorder="1"/>
    <xf numFmtId="0" fontId="49" fillId="2" borderId="29" xfId="0" applyFont="1" applyFill="1" applyBorder="1"/>
    <xf numFmtId="0" fontId="49" fillId="2" borderId="0" xfId="0" applyFont="1" applyFill="1" applyAlignment="1">
      <alignment vertical="center" wrapText="1"/>
    </xf>
    <xf numFmtId="0" fontId="49" fillId="2" borderId="16" xfId="0" applyFont="1" applyFill="1" applyBorder="1"/>
    <xf numFmtId="0" fontId="49" fillId="12" borderId="0" xfId="0" applyFont="1" applyFill="1" applyAlignment="1">
      <alignment vertical="top" wrapText="1"/>
    </xf>
    <xf numFmtId="0" fontId="49" fillId="47" borderId="15" xfId="0" applyFont="1" applyFill="1" applyBorder="1"/>
    <xf numFmtId="0" fontId="49" fillId="9" borderId="20" xfId="0" applyFont="1" applyFill="1" applyBorder="1"/>
    <xf numFmtId="0" fontId="49" fillId="8" borderId="15" xfId="0" applyFont="1" applyFill="1" applyBorder="1"/>
    <xf numFmtId="0" fontId="49" fillId="9" borderId="23" xfId="0" applyFont="1" applyFill="1" applyBorder="1" applyAlignment="1">
      <alignment horizontal="left" vertical="center" wrapText="1"/>
    </xf>
    <xf numFmtId="0" fontId="49" fillId="9" borderId="4" xfId="0" applyFont="1" applyFill="1" applyBorder="1" applyAlignment="1">
      <alignment horizontal="left" vertical="center" wrapText="1"/>
    </xf>
    <xf numFmtId="0" fontId="49" fillId="9" borderId="25" xfId="0" applyFont="1" applyFill="1" applyBorder="1" applyAlignment="1">
      <alignment horizontal="left" vertical="center" wrapText="1"/>
    </xf>
    <xf numFmtId="0" fontId="49" fillId="2" borderId="24" xfId="0" applyFont="1" applyFill="1" applyBorder="1"/>
    <xf numFmtId="0" fontId="49" fillId="8" borderId="2" xfId="0" applyFont="1" applyFill="1" applyBorder="1"/>
    <xf numFmtId="0" fontId="48" fillId="0" borderId="0" xfId="0" applyFont="1" applyAlignment="1">
      <alignment vertical="center" wrapText="1"/>
    </xf>
    <xf numFmtId="0" fontId="48" fillId="8" borderId="0" xfId="0" applyFont="1" applyFill="1" applyAlignment="1">
      <alignment vertical="center" wrapText="1"/>
    </xf>
    <xf numFmtId="0" fontId="49" fillId="2" borderId="17" xfId="0" applyFont="1" applyFill="1" applyBorder="1" applyAlignment="1">
      <alignment horizontal="left" vertical="center" wrapText="1"/>
    </xf>
    <xf numFmtId="0" fontId="49" fillId="2" borderId="0" xfId="0" applyFont="1" applyFill="1" applyAlignment="1">
      <alignment horizontal="left" vertical="center" wrapText="1"/>
    </xf>
    <xf numFmtId="0" fontId="49" fillId="2" borderId="19" xfId="0" applyFont="1" applyFill="1" applyBorder="1"/>
    <xf numFmtId="0" fontId="49" fillId="9" borderId="18" xfId="0" applyFont="1" applyFill="1" applyBorder="1" applyAlignment="1">
      <alignment horizontal="left" vertical="center" wrapText="1"/>
    </xf>
    <xf numFmtId="0" fontId="48" fillId="8" borderId="25" xfId="0" applyFont="1" applyFill="1" applyBorder="1" applyAlignment="1">
      <alignment vertical="center" wrapText="1"/>
    </xf>
    <xf numFmtId="0" fontId="49" fillId="5" borderId="0" xfId="0" applyFont="1" applyFill="1" applyAlignment="1" applyProtection="1">
      <alignment vertical="center" wrapText="1"/>
      <protection hidden="1"/>
    </xf>
    <xf numFmtId="0" fontId="49" fillId="5" borderId="4" xfId="0" applyFont="1" applyFill="1" applyBorder="1" applyAlignment="1" applyProtection="1">
      <alignment vertical="center" wrapText="1"/>
      <protection hidden="1"/>
    </xf>
    <xf numFmtId="0" fontId="23" fillId="42" borderId="129" xfId="90" applyFill="1" applyBorder="1" applyAlignment="1">
      <alignment vertical="center"/>
    </xf>
    <xf numFmtId="0" fontId="23" fillId="42" borderId="130" xfId="90" applyFill="1" applyBorder="1" applyAlignment="1">
      <alignment vertical="center"/>
    </xf>
    <xf numFmtId="0" fontId="92" fillId="2" borderId="139" xfId="0" applyFont="1" applyFill="1" applyBorder="1" applyAlignment="1" applyProtection="1">
      <alignment horizontal="center" vertical="center"/>
      <protection locked="0" hidden="1"/>
    </xf>
    <xf numFmtId="0" fontId="48" fillId="42" borderId="0" xfId="0" applyFont="1" applyFill="1" applyAlignment="1" applyProtection="1">
      <alignment horizontal="right" vertical="center"/>
      <protection hidden="1"/>
    </xf>
    <xf numFmtId="0" fontId="0" fillId="4" borderId="105" xfId="0" applyFill="1" applyBorder="1" applyAlignment="1" applyProtection="1">
      <alignment vertical="center"/>
      <protection hidden="1"/>
    </xf>
    <xf numFmtId="0" fontId="0" fillId="4" borderId="106" xfId="0" applyFill="1" applyBorder="1" applyAlignment="1" applyProtection="1">
      <alignment vertical="center"/>
      <protection hidden="1"/>
    </xf>
    <xf numFmtId="0" fontId="0" fillId="4" borderId="0" xfId="0" applyFill="1" applyAlignment="1" applyProtection="1">
      <alignment vertical="center"/>
      <protection hidden="1"/>
    </xf>
    <xf numFmtId="0" fontId="0" fillId="4" borderId="102" xfId="0" applyFill="1" applyBorder="1" applyAlignment="1" applyProtection="1">
      <alignment vertical="center"/>
      <protection hidden="1"/>
    </xf>
    <xf numFmtId="0" fontId="0" fillId="4" borderId="97" xfId="0" applyFill="1" applyBorder="1" applyAlignment="1" applyProtection="1">
      <alignment vertical="center"/>
      <protection hidden="1"/>
    </xf>
    <xf numFmtId="0" fontId="0" fillId="4" borderId="101" xfId="0" applyFill="1" applyBorder="1" applyAlignment="1" applyProtection="1">
      <alignment vertical="center"/>
      <protection hidden="1"/>
    </xf>
    <xf numFmtId="0" fontId="93" fillId="42" borderId="0" xfId="0" applyFont="1" applyFill="1" applyAlignment="1" applyProtection="1">
      <alignment horizontal="center" vertical="center"/>
      <protection hidden="1"/>
    </xf>
    <xf numFmtId="0" fontId="81" fillId="43" borderId="138" xfId="0" applyFont="1" applyFill="1" applyBorder="1" applyAlignment="1" applyProtection="1">
      <alignment horizontal="center" vertical="center"/>
      <protection locked="0" hidden="1"/>
    </xf>
    <xf numFmtId="0" fontId="7" fillId="0" borderId="0" xfId="0" applyFont="1" applyAlignment="1" applyProtection="1">
      <alignment horizontal="center" vertical="center"/>
      <protection hidden="1"/>
    </xf>
    <xf numFmtId="0" fontId="11" fillId="0" borderId="0" xfId="90" applyFont="1"/>
    <xf numFmtId="0" fontId="8" fillId="0" borderId="0" xfId="0" applyFont="1" applyAlignment="1" applyProtection="1">
      <alignment horizontal="center"/>
      <protection hidden="1"/>
    </xf>
    <xf numFmtId="0" fontId="8" fillId="0" borderId="0" xfId="0" applyFont="1" applyProtection="1">
      <protection hidden="1"/>
    </xf>
    <xf numFmtId="0" fontId="8" fillId="0" borderId="0" xfId="0" applyFont="1"/>
    <xf numFmtId="0" fontId="8" fillId="42" borderId="0" xfId="0" applyFont="1" applyFill="1" applyProtection="1">
      <protection hidden="1"/>
    </xf>
    <xf numFmtId="16" fontId="3" fillId="42" borderId="0" xfId="0" quotePrefix="1" applyNumberFormat="1" applyFont="1" applyFill="1" applyProtection="1">
      <protection hidden="1"/>
    </xf>
    <xf numFmtId="0" fontId="3" fillId="42" borderId="0" xfId="0" quotePrefix="1" applyFont="1" applyFill="1" applyProtection="1">
      <protection hidden="1"/>
    </xf>
    <xf numFmtId="0" fontId="0" fillId="42" borderId="0" xfId="0" applyFill="1" applyAlignment="1" applyProtection="1">
      <alignment horizontal="center" vertical="center"/>
      <protection hidden="1"/>
    </xf>
    <xf numFmtId="0" fontId="58" fillId="42" borderId="0" xfId="0" applyFont="1" applyFill="1" applyAlignment="1" applyProtection="1">
      <alignment horizontal="center" vertical="center"/>
      <protection hidden="1"/>
    </xf>
    <xf numFmtId="0" fontId="8" fillId="17" borderId="41" xfId="0" applyFont="1" applyFill="1" applyBorder="1" applyAlignment="1" applyProtection="1">
      <alignment horizontal="center" vertical="center"/>
      <protection hidden="1"/>
    </xf>
    <xf numFmtId="0" fontId="49" fillId="4" borderId="62" xfId="0" applyFont="1" applyFill="1" applyBorder="1" applyAlignment="1" applyProtection="1">
      <alignment horizontal="left"/>
      <protection hidden="1"/>
    </xf>
    <xf numFmtId="0" fontId="49" fillId="4" borderId="62" xfId="0" applyFont="1" applyFill="1" applyBorder="1" applyAlignment="1" applyProtection="1">
      <alignment horizontal="center"/>
      <protection hidden="1"/>
    </xf>
    <xf numFmtId="0" fontId="49" fillId="4" borderId="62" xfId="0" applyFont="1" applyFill="1" applyBorder="1" applyProtection="1">
      <protection hidden="1"/>
    </xf>
    <xf numFmtId="0" fontId="50" fillId="3" borderId="65" xfId="0" applyFont="1" applyFill="1" applyBorder="1" applyAlignment="1" applyProtection="1">
      <alignment horizontal="left" vertical="center"/>
      <protection hidden="1"/>
    </xf>
    <xf numFmtId="0" fontId="50" fillId="3" borderId="118" xfId="0" applyFont="1" applyFill="1" applyBorder="1" applyAlignment="1" applyProtection="1">
      <alignment horizontal="left" vertical="center"/>
      <protection hidden="1"/>
    </xf>
    <xf numFmtId="0" fontId="50" fillId="3" borderId="118" xfId="0" applyFont="1" applyFill="1" applyBorder="1" applyAlignment="1" applyProtection="1">
      <alignment horizontal="center" vertical="center"/>
      <protection hidden="1"/>
    </xf>
    <xf numFmtId="0" fontId="50" fillId="3" borderId="119" xfId="0" applyFont="1" applyFill="1" applyBorder="1" applyAlignment="1" applyProtection="1">
      <alignment horizontal="center" vertical="center"/>
      <protection hidden="1"/>
    </xf>
    <xf numFmtId="0" fontId="8" fillId="23" borderId="41" xfId="0" applyFont="1" applyFill="1" applyBorder="1" applyAlignment="1" applyProtection="1">
      <alignment horizontal="center" vertical="center"/>
      <protection hidden="1"/>
    </xf>
    <xf numFmtId="0" fontId="49" fillId="42" borderId="0" xfId="0" applyFont="1" applyFill="1" applyAlignment="1" applyProtection="1">
      <alignment horizontal="center"/>
      <protection hidden="1"/>
    </xf>
    <xf numFmtId="0" fontId="50" fillId="10" borderId="66" xfId="0" applyFont="1" applyFill="1" applyBorder="1" applyAlignment="1" applyProtection="1">
      <alignment horizontal="center" vertical="center"/>
      <protection hidden="1"/>
    </xf>
    <xf numFmtId="0" fontId="49" fillId="10" borderId="66" xfId="0" applyFont="1" applyFill="1" applyBorder="1" applyAlignment="1" applyProtection="1">
      <alignment horizontal="center" vertical="center"/>
      <protection hidden="1"/>
    </xf>
    <xf numFmtId="0" fontId="49" fillId="10" borderId="71" xfId="0" applyFont="1" applyFill="1" applyBorder="1" applyAlignment="1" applyProtection="1">
      <alignment horizontal="center" vertical="top"/>
      <protection hidden="1"/>
    </xf>
    <xf numFmtId="0" fontId="49" fillId="15" borderId="0" xfId="0" applyFont="1" applyFill="1" applyProtection="1">
      <protection hidden="1"/>
    </xf>
    <xf numFmtId="0" fontId="0" fillId="11" borderId="0" xfId="0" applyFill="1" applyAlignment="1" applyProtection="1">
      <alignment horizontal="center" vertical="center"/>
      <protection hidden="1"/>
    </xf>
    <xf numFmtId="0" fontId="49" fillId="14" borderId="0" xfId="0" applyFont="1" applyFill="1" applyAlignment="1" applyProtection="1">
      <alignment horizontal="center" vertical="center"/>
      <protection hidden="1"/>
    </xf>
    <xf numFmtId="0" fontId="0" fillId="16" borderId="0" xfId="0" applyFill="1" applyAlignment="1" applyProtection="1">
      <alignment horizontal="center" vertical="center"/>
      <protection hidden="1"/>
    </xf>
    <xf numFmtId="0" fontId="49" fillId="3" borderId="0" xfId="0" applyFont="1" applyFill="1" applyAlignment="1" applyProtection="1">
      <alignment horizontal="center" vertical="center"/>
      <protection hidden="1"/>
    </xf>
    <xf numFmtId="0" fontId="0" fillId="0" borderId="145" xfId="0" applyBorder="1" applyAlignment="1" applyProtection="1">
      <alignment horizontal="right"/>
      <protection hidden="1"/>
    </xf>
    <xf numFmtId="0" fontId="3" fillId="46" borderId="146" xfId="0" applyFont="1" applyFill="1" applyBorder="1" applyAlignment="1" applyProtection="1">
      <alignment horizontal="center"/>
      <protection hidden="1"/>
    </xf>
    <xf numFmtId="0" fontId="3" fillId="10" borderId="146" xfId="0" quotePrefix="1" applyFont="1" applyFill="1" applyBorder="1" applyAlignment="1" applyProtection="1">
      <alignment horizontal="center"/>
      <protection hidden="1"/>
    </xf>
    <xf numFmtId="0" fontId="3" fillId="15" borderId="146" xfId="0" quotePrefix="1" applyFont="1" applyFill="1" applyBorder="1" applyAlignment="1" applyProtection="1">
      <alignment horizontal="center"/>
      <protection hidden="1"/>
    </xf>
    <xf numFmtId="0" fontId="3" fillId="11" borderId="146" xfId="0" quotePrefix="1" applyFont="1" applyFill="1" applyBorder="1" applyAlignment="1" applyProtection="1">
      <alignment horizontal="center"/>
      <protection hidden="1"/>
    </xf>
    <xf numFmtId="0" fontId="3" fillId="14" borderId="146" xfId="0" quotePrefix="1" applyFont="1" applyFill="1" applyBorder="1" applyAlignment="1" applyProtection="1">
      <alignment horizontal="center"/>
      <protection hidden="1"/>
    </xf>
    <xf numFmtId="0" fontId="3" fillId="31" borderId="146" xfId="0" applyFont="1" applyFill="1" applyBorder="1" applyAlignment="1" applyProtection="1">
      <alignment horizontal="center"/>
      <protection hidden="1"/>
    </xf>
    <xf numFmtId="0" fontId="3" fillId="30" borderId="146" xfId="0" applyFont="1" applyFill="1" applyBorder="1" applyAlignment="1" applyProtection="1">
      <alignment horizontal="center"/>
      <protection hidden="1"/>
    </xf>
    <xf numFmtId="0" fontId="3" fillId="29" borderId="147" xfId="0" applyFont="1" applyFill="1" applyBorder="1" applyAlignment="1" applyProtection="1">
      <alignment horizontal="center"/>
      <protection hidden="1"/>
    </xf>
    <xf numFmtId="0" fontId="8" fillId="17" borderId="44" xfId="0" applyFont="1" applyFill="1" applyBorder="1" applyAlignment="1" applyProtection="1">
      <alignment horizontal="center" vertical="center"/>
      <protection hidden="1"/>
    </xf>
    <xf numFmtId="0" fontId="49" fillId="4" borderId="57" xfId="0" applyFont="1" applyFill="1" applyBorder="1" applyAlignment="1" applyProtection="1">
      <alignment horizontal="left"/>
      <protection hidden="1"/>
    </xf>
    <xf numFmtId="0" fontId="49" fillId="4" borderId="57" xfId="0" applyFont="1" applyFill="1" applyBorder="1" applyAlignment="1" applyProtection="1">
      <alignment horizontal="center"/>
      <protection hidden="1"/>
    </xf>
    <xf numFmtId="0" fontId="49" fillId="4" borderId="57" xfId="0" applyFont="1" applyFill="1" applyBorder="1" applyProtection="1">
      <protection hidden="1"/>
    </xf>
    <xf numFmtId="0" fontId="49" fillId="4" borderId="114" xfId="0" applyFont="1" applyFill="1" applyBorder="1" applyProtection="1">
      <protection hidden="1"/>
    </xf>
    <xf numFmtId="0" fontId="50" fillId="4" borderId="116" xfId="0" applyFont="1" applyFill="1" applyBorder="1" applyAlignment="1" applyProtection="1">
      <alignment horizontal="left"/>
      <protection hidden="1"/>
    </xf>
    <xf numFmtId="0" fontId="50" fillId="4" borderId="116" xfId="0" applyFont="1" applyFill="1" applyBorder="1" applyAlignment="1" applyProtection="1">
      <alignment horizontal="center" vertical="center"/>
      <protection hidden="1"/>
    </xf>
    <xf numFmtId="0" fontId="49" fillId="4" borderId="116" xfId="0" applyFont="1" applyFill="1" applyBorder="1" applyAlignment="1" applyProtection="1">
      <alignment horizontal="center" vertical="center"/>
      <protection hidden="1"/>
    </xf>
    <xf numFmtId="0" fontId="49" fillId="4" borderId="120" xfId="0" applyFont="1" applyFill="1" applyBorder="1" applyAlignment="1" applyProtection="1">
      <alignment horizontal="center" vertical="center"/>
      <protection hidden="1"/>
    </xf>
    <xf numFmtId="0" fontId="8" fillId="23" borderId="44" xfId="0" applyFont="1" applyFill="1" applyBorder="1" applyAlignment="1" applyProtection="1">
      <alignment horizontal="center" vertical="center"/>
      <protection hidden="1"/>
    </xf>
    <xf numFmtId="0" fontId="49" fillId="10" borderId="67" xfId="0" applyFont="1" applyFill="1" applyBorder="1" applyAlignment="1" applyProtection="1">
      <alignment horizontal="center" vertical="center"/>
      <protection hidden="1"/>
    </xf>
    <xf numFmtId="0" fontId="49" fillId="10" borderId="72" xfId="0" applyFont="1" applyFill="1" applyBorder="1" applyAlignment="1" applyProtection="1">
      <alignment horizontal="center" vertical="center"/>
      <protection hidden="1"/>
    </xf>
    <xf numFmtId="0" fontId="58" fillId="42" borderId="75" xfId="0" applyFont="1" applyFill="1" applyBorder="1" applyAlignment="1" applyProtection="1">
      <alignment horizontal="right" vertical="center"/>
      <protection hidden="1"/>
    </xf>
    <xf numFmtId="0" fontId="50" fillId="15" borderId="66" xfId="0" applyFont="1" applyFill="1" applyBorder="1" applyAlignment="1" applyProtection="1">
      <alignment horizontal="center" vertical="center"/>
      <protection hidden="1"/>
    </xf>
    <xf numFmtId="0" fontId="49" fillId="15" borderId="66" xfId="0" applyFont="1" applyFill="1" applyBorder="1" applyAlignment="1" applyProtection="1">
      <alignment horizontal="center" vertical="center"/>
      <protection hidden="1"/>
    </xf>
    <xf numFmtId="0" fontId="49" fillId="15" borderId="71" xfId="0" applyFont="1" applyFill="1" applyBorder="1" applyAlignment="1" applyProtection="1">
      <alignment horizontal="center" vertical="center"/>
      <protection hidden="1"/>
    </xf>
    <xf numFmtId="0" fontId="49" fillId="11" borderId="0" xfId="0" applyFont="1" applyFill="1" applyAlignment="1" applyProtection="1">
      <alignment horizontal="center" vertical="center"/>
      <protection hidden="1"/>
    </xf>
    <xf numFmtId="0" fontId="49" fillId="16" borderId="0" xfId="0" applyFont="1" applyFill="1" applyAlignment="1" applyProtection="1">
      <alignment horizontal="center" vertical="center"/>
      <protection hidden="1"/>
    </xf>
    <xf numFmtId="0" fontId="51" fillId="42" borderId="0" xfId="0" applyFont="1" applyFill="1" applyProtection="1">
      <protection hidden="1"/>
    </xf>
    <xf numFmtId="0" fontId="0" fillId="0" borderId="148" xfId="0" applyBorder="1" applyAlignment="1" applyProtection="1">
      <alignment horizontal="right"/>
      <protection hidden="1"/>
    </xf>
    <xf numFmtId="165" fontId="0" fillId="0" borderId="134" xfId="0" applyNumberFormat="1" applyBorder="1" applyProtection="1">
      <protection hidden="1"/>
    </xf>
    <xf numFmtId="165" fontId="58" fillId="0" borderId="134" xfId="0" applyNumberFormat="1" applyFont="1" applyBorder="1" applyProtection="1">
      <protection hidden="1"/>
    </xf>
    <xf numFmtId="165" fontId="7" fillId="0" borderId="134" xfId="0" applyNumberFormat="1" applyFont="1" applyBorder="1" applyProtection="1">
      <protection hidden="1"/>
    </xf>
    <xf numFmtId="165" fontId="0" fillId="0" borderId="149" xfId="0" applyNumberFormat="1" applyBorder="1" applyProtection="1">
      <protection hidden="1"/>
    </xf>
    <xf numFmtId="0" fontId="49" fillId="4" borderId="115" xfId="0" applyFont="1" applyFill="1" applyBorder="1" applyProtection="1">
      <protection hidden="1"/>
    </xf>
    <xf numFmtId="0" fontId="50" fillId="4" borderId="0" xfId="0" applyFont="1" applyFill="1" applyAlignment="1" applyProtection="1">
      <alignment horizontal="left"/>
      <protection hidden="1"/>
    </xf>
    <xf numFmtId="0" fontId="49" fillId="10" borderId="68" xfId="0" applyFont="1" applyFill="1" applyBorder="1" applyAlignment="1" applyProtection="1">
      <alignment horizontal="center" vertical="center"/>
      <protection hidden="1"/>
    </xf>
    <xf numFmtId="0" fontId="49" fillId="10" borderId="73" xfId="0" applyFont="1" applyFill="1" applyBorder="1" applyAlignment="1" applyProtection="1">
      <alignment horizontal="center" vertical="center"/>
      <protection hidden="1"/>
    </xf>
    <xf numFmtId="0" fontId="49" fillId="15" borderId="77" xfId="0" applyFont="1" applyFill="1" applyBorder="1" applyAlignment="1" applyProtection="1">
      <alignment horizontal="center" vertical="center"/>
      <protection hidden="1"/>
    </xf>
    <xf numFmtId="0" fontId="49" fillId="10" borderId="70" xfId="0" applyFont="1" applyFill="1" applyBorder="1" applyAlignment="1" applyProtection="1">
      <alignment horizontal="center" vertical="center"/>
      <protection hidden="1"/>
    </xf>
    <xf numFmtId="0" fontId="49" fillId="10" borderId="74" xfId="0" applyFont="1" applyFill="1" applyBorder="1" applyAlignment="1" applyProtection="1">
      <alignment horizontal="center" vertical="top"/>
      <protection hidden="1"/>
    </xf>
    <xf numFmtId="0" fontId="49" fillId="15" borderId="0" xfId="0" applyFont="1" applyFill="1" applyAlignment="1" applyProtection="1">
      <alignment horizontal="center" vertical="center"/>
      <protection hidden="1"/>
    </xf>
    <xf numFmtId="0" fontId="49" fillId="15" borderId="73" xfId="0" applyFont="1" applyFill="1" applyBorder="1" applyAlignment="1" applyProtection="1">
      <alignment horizontal="center" vertical="center"/>
      <protection hidden="1"/>
    </xf>
    <xf numFmtId="0" fontId="50" fillId="4" borderId="117" xfId="0" applyFont="1" applyFill="1" applyBorder="1" applyAlignment="1" applyProtection="1">
      <alignment horizontal="left"/>
      <protection hidden="1"/>
    </xf>
    <xf numFmtId="0" fontId="50" fillId="4" borderId="117" xfId="0" applyFont="1" applyFill="1" applyBorder="1" applyAlignment="1" applyProtection="1">
      <alignment horizontal="center" vertical="center"/>
      <protection hidden="1"/>
    </xf>
    <xf numFmtId="0" fontId="49" fillId="4" borderId="117" xfId="0" applyFont="1" applyFill="1" applyBorder="1" applyAlignment="1" applyProtection="1">
      <alignment horizontal="center" vertical="center"/>
      <protection hidden="1"/>
    </xf>
    <xf numFmtId="0" fontId="49" fillId="4" borderId="121" xfId="0" applyFont="1" applyFill="1" applyBorder="1" applyAlignment="1" applyProtection="1">
      <alignment horizontal="center" vertical="center"/>
      <protection hidden="1"/>
    </xf>
    <xf numFmtId="0" fontId="50" fillId="10" borderId="67" xfId="0" applyFont="1" applyFill="1" applyBorder="1" applyAlignment="1" applyProtection="1">
      <alignment horizontal="center" vertical="center"/>
      <protection hidden="1"/>
    </xf>
    <xf numFmtId="0" fontId="49" fillId="10" borderId="69" xfId="0" applyFont="1" applyFill="1" applyBorder="1" applyAlignment="1" applyProtection="1">
      <alignment horizontal="center" vertical="center"/>
      <protection hidden="1"/>
    </xf>
    <xf numFmtId="0" fontId="49" fillId="10" borderId="0" xfId="0" applyFont="1" applyFill="1" applyAlignment="1" applyProtection="1">
      <alignment horizontal="center"/>
      <protection hidden="1"/>
    </xf>
    <xf numFmtId="0" fontId="50" fillId="11" borderId="66" xfId="0" applyFont="1" applyFill="1" applyBorder="1" applyAlignment="1" applyProtection="1">
      <alignment horizontal="center" vertical="center"/>
      <protection hidden="1"/>
    </xf>
    <xf numFmtId="0" fontId="49" fillId="11" borderId="66" xfId="0" applyFont="1" applyFill="1" applyBorder="1" applyAlignment="1" applyProtection="1">
      <alignment horizontal="center" vertical="center"/>
      <protection hidden="1"/>
    </xf>
    <xf numFmtId="0" fontId="49" fillId="11" borderId="71" xfId="0" applyFont="1" applyFill="1" applyBorder="1" applyAlignment="1" applyProtection="1">
      <alignment horizontal="center" vertical="center"/>
      <protection hidden="1"/>
    </xf>
    <xf numFmtId="0" fontId="8" fillId="17" borderId="46" xfId="0" applyFont="1" applyFill="1" applyBorder="1" applyAlignment="1" applyProtection="1">
      <alignment horizontal="center" vertical="center"/>
      <protection hidden="1"/>
    </xf>
    <xf numFmtId="0" fontId="49" fillId="4" borderId="49" xfId="0" applyFont="1" applyFill="1" applyBorder="1" applyAlignment="1" applyProtection="1">
      <alignment horizontal="left"/>
      <protection hidden="1"/>
    </xf>
    <xf numFmtId="0" fontId="49" fillId="4" borderId="49" xfId="0" applyFont="1" applyFill="1" applyBorder="1" applyAlignment="1" applyProtection="1">
      <alignment horizontal="center"/>
      <protection hidden="1"/>
    </xf>
    <xf numFmtId="0" fontId="49" fillId="4" borderId="49" xfId="0" applyFont="1" applyFill="1" applyBorder="1" applyProtection="1">
      <protection hidden="1"/>
    </xf>
    <xf numFmtId="0" fontId="49" fillId="3" borderId="47" xfId="0" applyFont="1" applyFill="1" applyBorder="1" applyAlignment="1" applyProtection="1">
      <alignment horizontal="left"/>
      <protection hidden="1"/>
    </xf>
    <xf numFmtId="0" fontId="49" fillId="3" borderId="47" xfId="0" applyFont="1" applyFill="1" applyBorder="1" applyProtection="1">
      <protection hidden="1"/>
    </xf>
    <xf numFmtId="0" fontId="49" fillId="3" borderId="50" xfId="0" applyFont="1" applyFill="1" applyBorder="1" applyProtection="1">
      <protection hidden="1"/>
    </xf>
    <xf numFmtId="0" fontId="8" fillId="23" borderId="46" xfId="0" applyFont="1" applyFill="1" applyBorder="1" applyAlignment="1" applyProtection="1">
      <alignment horizontal="center" vertical="center"/>
      <protection hidden="1"/>
    </xf>
    <xf numFmtId="0" fontId="49" fillId="10" borderId="0" xfId="0" applyFont="1" applyFill="1" applyProtection="1">
      <protection hidden="1"/>
    </xf>
    <xf numFmtId="0" fontId="49" fillId="11" borderId="72" xfId="0" applyFont="1" applyFill="1" applyBorder="1" applyAlignment="1" applyProtection="1">
      <alignment horizontal="center" vertical="center"/>
      <protection hidden="1"/>
    </xf>
    <xf numFmtId="0" fontId="0" fillId="42" borderId="0" xfId="0" applyFill="1" applyAlignment="1" applyProtection="1">
      <alignment horizontal="left"/>
      <protection hidden="1"/>
    </xf>
    <xf numFmtId="0" fontId="0" fillId="42" borderId="0" xfId="0" applyFill="1" applyAlignment="1" applyProtection="1">
      <alignment horizontal="center"/>
      <protection hidden="1"/>
    </xf>
    <xf numFmtId="0" fontId="49" fillId="10" borderId="71" xfId="0" applyFont="1" applyFill="1" applyBorder="1" applyAlignment="1" applyProtection="1">
      <alignment horizontal="center" vertical="center"/>
      <protection hidden="1"/>
    </xf>
    <xf numFmtId="0" fontId="49" fillId="11" borderId="73" xfId="0" applyFont="1" applyFill="1" applyBorder="1" applyAlignment="1" applyProtection="1">
      <alignment horizontal="center" vertical="center"/>
      <protection hidden="1"/>
    </xf>
    <xf numFmtId="0" fontId="58" fillId="42" borderId="76" xfId="0" applyFont="1" applyFill="1" applyBorder="1" applyAlignment="1" applyProtection="1">
      <alignment horizontal="right" vertical="center"/>
      <protection hidden="1"/>
    </xf>
    <xf numFmtId="0" fontId="49" fillId="15" borderId="74" xfId="0" applyFont="1" applyFill="1" applyBorder="1" applyAlignment="1" applyProtection="1">
      <alignment horizontal="center" vertical="center"/>
      <protection hidden="1"/>
    </xf>
    <xf numFmtId="0" fontId="8" fillId="19" borderId="41" xfId="0" applyFont="1" applyFill="1" applyBorder="1" applyAlignment="1" applyProtection="1">
      <alignment horizontal="center" vertical="center"/>
      <protection hidden="1"/>
    </xf>
    <xf numFmtId="0" fontId="8" fillId="24" borderId="41" xfId="0" applyFont="1" applyFill="1" applyBorder="1" applyAlignment="1" applyProtection="1">
      <alignment horizontal="center" vertical="center"/>
      <protection hidden="1"/>
    </xf>
    <xf numFmtId="0" fontId="8" fillId="19" borderId="44" xfId="0" applyFont="1" applyFill="1" applyBorder="1" applyAlignment="1" applyProtection="1">
      <alignment horizontal="center" vertical="center"/>
      <protection hidden="1"/>
    </xf>
    <xf numFmtId="0" fontId="8" fillId="24" borderId="44" xfId="0" applyFont="1" applyFill="1" applyBorder="1" applyAlignment="1" applyProtection="1">
      <alignment horizontal="center" vertical="center"/>
      <protection hidden="1"/>
    </xf>
    <xf numFmtId="0" fontId="49" fillId="10" borderId="74" xfId="0" applyFont="1" applyFill="1" applyBorder="1" applyAlignment="1" applyProtection="1">
      <alignment horizontal="center" vertical="center"/>
      <protection hidden="1"/>
    </xf>
    <xf numFmtId="0" fontId="49" fillId="10" borderId="0" xfId="0" applyFont="1" applyFill="1" applyAlignment="1" applyProtection="1">
      <alignment horizontal="center" vertical="center"/>
      <protection hidden="1"/>
    </xf>
    <xf numFmtId="0" fontId="50" fillId="14" borderId="66" xfId="0" applyFont="1" applyFill="1" applyBorder="1" applyAlignment="1" applyProtection="1">
      <alignment horizontal="center" vertical="center"/>
      <protection hidden="1"/>
    </xf>
    <xf numFmtId="0" fontId="49" fillId="14" borderId="66" xfId="0" applyFont="1" applyFill="1" applyBorder="1" applyAlignment="1" applyProtection="1">
      <alignment horizontal="center" vertical="center"/>
      <protection hidden="1"/>
    </xf>
    <xf numFmtId="0" fontId="49" fillId="14" borderId="71" xfId="0" applyFont="1" applyFill="1" applyBorder="1" applyAlignment="1" applyProtection="1">
      <alignment horizontal="center" vertical="center"/>
      <protection hidden="1"/>
    </xf>
    <xf numFmtId="0" fontId="49" fillId="14" borderId="72" xfId="0" applyFont="1" applyFill="1" applyBorder="1" applyAlignment="1" applyProtection="1">
      <alignment horizontal="center" vertical="center"/>
      <protection hidden="1"/>
    </xf>
    <xf numFmtId="0" fontId="49" fillId="14" borderId="73" xfId="0" applyFont="1" applyFill="1" applyBorder="1" applyAlignment="1" applyProtection="1">
      <alignment horizontal="center" vertical="center"/>
      <protection hidden="1"/>
    </xf>
    <xf numFmtId="0" fontId="8" fillId="19" borderId="46" xfId="0" applyFont="1" applyFill="1" applyBorder="1" applyAlignment="1" applyProtection="1">
      <alignment horizontal="center" vertical="center"/>
      <protection hidden="1"/>
    </xf>
    <xf numFmtId="0" fontId="8" fillId="24" borderId="46" xfId="0" applyFont="1" applyFill="1" applyBorder="1" applyAlignment="1" applyProtection="1">
      <alignment horizontal="center" vertical="center"/>
      <protection hidden="1"/>
    </xf>
    <xf numFmtId="0" fontId="49" fillId="15" borderId="80" xfId="0" applyFont="1" applyFill="1" applyBorder="1" applyAlignment="1" applyProtection="1">
      <alignment horizontal="center" vertical="center"/>
      <protection hidden="1"/>
    </xf>
    <xf numFmtId="0" fontId="51" fillId="42" borderId="0" xfId="0" applyFont="1" applyFill="1" applyAlignment="1" applyProtection="1">
      <alignment horizontal="centerContinuous"/>
      <protection hidden="1"/>
    </xf>
    <xf numFmtId="0" fontId="0" fillId="42" borderId="0" xfId="0" applyFill="1" applyAlignment="1" applyProtection="1">
      <alignment horizontal="centerContinuous"/>
      <protection hidden="1"/>
    </xf>
    <xf numFmtId="0" fontId="8" fillId="18" borderId="41" xfId="0" applyFont="1" applyFill="1" applyBorder="1" applyAlignment="1" applyProtection="1">
      <alignment horizontal="center" vertical="center"/>
      <protection hidden="1"/>
    </xf>
    <xf numFmtId="0" fontId="8" fillId="25" borderId="41" xfId="0" applyFont="1" applyFill="1" applyBorder="1" applyAlignment="1" applyProtection="1">
      <alignment horizontal="center" vertical="center"/>
      <protection hidden="1"/>
    </xf>
    <xf numFmtId="0" fontId="49" fillId="11" borderId="74" xfId="0" applyFont="1" applyFill="1" applyBorder="1" applyAlignment="1" applyProtection="1">
      <alignment horizontal="center" vertical="center"/>
      <protection hidden="1"/>
    </xf>
    <xf numFmtId="0" fontId="8" fillId="18" borderId="44" xfId="0" applyFont="1" applyFill="1" applyBorder="1" applyAlignment="1" applyProtection="1">
      <alignment horizontal="center" vertical="center"/>
      <protection hidden="1"/>
    </xf>
    <xf numFmtId="0" fontId="8" fillId="25" borderId="44" xfId="0" applyFont="1" applyFill="1" applyBorder="1" applyAlignment="1" applyProtection="1">
      <alignment horizontal="center" vertical="center"/>
      <protection hidden="1"/>
    </xf>
    <xf numFmtId="0" fontId="62" fillId="3" borderId="0" xfId="0" applyFont="1" applyFill="1" applyAlignment="1" applyProtection="1">
      <alignment horizontal="center" vertical="center"/>
      <protection hidden="1"/>
    </xf>
    <xf numFmtId="0" fontId="0" fillId="4" borderId="87" xfId="0" applyFill="1" applyBorder="1" applyAlignment="1" applyProtection="1">
      <alignment horizontal="center"/>
      <protection hidden="1"/>
    </xf>
    <xf numFmtId="0" fontId="0" fillId="4" borderId="88" xfId="0" applyFill="1" applyBorder="1" applyAlignment="1" applyProtection="1">
      <alignment horizontal="center"/>
      <protection hidden="1"/>
    </xf>
    <xf numFmtId="0" fontId="0" fillId="4" borderId="89" xfId="0" applyFill="1" applyBorder="1" applyAlignment="1" applyProtection="1">
      <alignment horizontal="center"/>
      <protection hidden="1"/>
    </xf>
    <xf numFmtId="0" fontId="0" fillId="4" borderId="90" xfId="0" applyFill="1" applyBorder="1" applyAlignment="1" applyProtection="1">
      <alignment horizontal="center"/>
      <protection hidden="1"/>
    </xf>
    <xf numFmtId="0" fontId="49" fillId="4" borderId="0" xfId="0" applyFont="1" applyFill="1" applyAlignment="1" applyProtection="1">
      <alignment horizontal="center"/>
      <protection hidden="1"/>
    </xf>
    <xf numFmtId="0" fontId="0" fillId="4" borderId="91" xfId="0" applyFill="1" applyBorder="1" applyAlignment="1" applyProtection="1">
      <alignment horizontal="center"/>
      <protection hidden="1"/>
    </xf>
    <xf numFmtId="0" fontId="49" fillId="29" borderId="0" xfId="0" applyFont="1" applyFill="1" applyAlignment="1" applyProtection="1">
      <alignment horizontal="center"/>
      <protection hidden="1"/>
    </xf>
    <xf numFmtId="0" fontId="8" fillId="18" borderId="46" xfId="0" applyFont="1" applyFill="1" applyBorder="1" applyAlignment="1" applyProtection="1">
      <alignment horizontal="center" vertical="center"/>
      <protection hidden="1"/>
    </xf>
    <xf numFmtId="0" fontId="8" fillId="25" borderId="46" xfId="0" applyFont="1" applyFill="1" applyBorder="1" applyAlignment="1" applyProtection="1">
      <alignment horizontal="center" vertical="center"/>
      <protection hidden="1"/>
    </xf>
    <xf numFmtId="0" fontId="49" fillId="30" borderId="0" xfId="0" applyFont="1" applyFill="1" applyAlignment="1" applyProtection="1">
      <alignment horizontal="center"/>
      <protection hidden="1"/>
    </xf>
    <xf numFmtId="0" fontId="58" fillId="42" borderId="78" xfId="0" applyFont="1" applyFill="1" applyBorder="1" applyProtection="1">
      <protection hidden="1"/>
    </xf>
    <xf numFmtId="0" fontId="49" fillId="16" borderId="79" xfId="0" applyFont="1" applyFill="1" applyBorder="1" applyAlignment="1" applyProtection="1">
      <alignment horizontal="center" vertical="center"/>
      <protection hidden="1"/>
    </xf>
    <xf numFmtId="0" fontId="58" fillId="42" borderId="76" xfId="0" applyFont="1" applyFill="1" applyBorder="1" applyProtection="1">
      <protection hidden="1"/>
    </xf>
    <xf numFmtId="0" fontId="50" fillId="3" borderId="66" xfId="0" applyFont="1" applyFill="1" applyBorder="1" applyAlignment="1" applyProtection="1">
      <alignment horizontal="center" vertical="center"/>
      <protection hidden="1"/>
    </xf>
    <xf numFmtId="0" fontId="49" fillId="3" borderId="66" xfId="0" applyFont="1" applyFill="1" applyBorder="1" applyAlignment="1" applyProtection="1">
      <alignment horizontal="center" vertical="center"/>
      <protection hidden="1"/>
    </xf>
    <xf numFmtId="0" fontId="49" fillId="3" borderId="71" xfId="0" applyFont="1" applyFill="1" applyBorder="1" applyAlignment="1" applyProtection="1">
      <alignment horizontal="center" vertical="center"/>
      <protection hidden="1"/>
    </xf>
    <xf numFmtId="0" fontId="58" fillId="42" borderId="79" xfId="0" applyFont="1" applyFill="1" applyBorder="1" applyProtection="1">
      <protection hidden="1"/>
    </xf>
    <xf numFmtId="0" fontId="49" fillId="31" borderId="0" xfId="0" applyFont="1" applyFill="1" applyAlignment="1" applyProtection="1">
      <alignment horizontal="center"/>
      <protection hidden="1"/>
    </xf>
    <xf numFmtId="0" fontId="8" fillId="20" borderId="41" xfId="0" applyFont="1" applyFill="1" applyBorder="1" applyAlignment="1" applyProtection="1">
      <alignment horizontal="center" vertical="center"/>
      <protection hidden="1"/>
    </xf>
    <xf numFmtId="0" fontId="8" fillId="26" borderId="41" xfId="0" applyFont="1" applyFill="1" applyBorder="1" applyAlignment="1" applyProtection="1">
      <alignment horizontal="center" vertical="center"/>
      <protection hidden="1"/>
    </xf>
    <xf numFmtId="0" fontId="8" fillId="20" borderId="44" xfId="0" applyFont="1" applyFill="1" applyBorder="1" applyAlignment="1" applyProtection="1">
      <alignment horizontal="center" vertical="center"/>
      <protection hidden="1"/>
    </xf>
    <xf numFmtId="0" fontId="8" fillId="26" borderId="44" xfId="0" applyFont="1" applyFill="1" applyBorder="1" applyAlignment="1" applyProtection="1">
      <alignment horizontal="center" vertical="center"/>
      <protection hidden="1"/>
    </xf>
    <xf numFmtId="0" fontId="58" fillId="42" borderId="75" xfId="0" applyFont="1" applyFill="1" applyBorder="1" applyAlignment="1" applyProtection="1">
      <alignment horizontal="center" vertical="center"/>
      <protection hidden="1"/>
    </xf>
    <xf numFmtId="0" fontId="50" fillId="16" borderId="66" xfId="0" applyFont="1" applyFill="1" applyBorder="1" applyAlignment="1" applyProtection="1">
      <alignment horizontal="center" vertical="center"/>
      <protection hidden="1"/>
    </xf>
    <xf numFmtId="0" fontId="49" fillId="16" borderId="66" xfId="0" applyFont="1" applyFill="1" applyBorder="1" applyAlignment="1" applyProtection="1">
      <alignment horizontal="center" vertical="center"/>
      <protection hidden="1"/>
    </xf>
    <xf numFmtId="0" fontId="49" fillId="16" borderId="71" xfId="0" applyFont="1" applyFill="1" applyBorder="1" applyAlignment="1" applyProtection="1">
      <alignment horizontal="center" vertical="center"/>
      <protection hidden="1"/>
    </xf>
    <xf numFmtId="0" fontId="58" fillId="42" borderId="93" xfId="0" applyFont="1" applyFill="1" applyBorder="1" applyProtection="1">
      <protection hidden="1"/>
    </xf>
    <xf numFmtId="0" fontId="49" fillId="3" borderId="93" xfId="0" applyFont="1" applyFill="1" applyBorder="1" applyAlignment="1" applyProtection="1">
      <alignment horizontal="center" vertical="center"/>
      <protection hidden="1"/>
    </xf>
    <xf numFmtId="0" fontId="0" fillId="4" borderId="92" xfId="0" applyFill="1" applyBorder="1" applyAlignment="1" applyProtection="1">
      <alignment horizontal="center"/>
      <protection hidden="1"/>
    </xf>
    <xf numFmtId="0" fontId="0" fillId="4" borderId="93" xfId="0" applyFill="1" applyBorder="1" applyAlignment="1" applyProtection="1">
      <alignment horizontal="center"/>
      <protection hidden="1"/>
    </xf>
    <xf numFmtId="0" fontId="0" fillId="4" borderId="94" xfId="0" applyFill="1" applyBorder="1" applyAlignment="1" applyProtection="1">
      <alignment horizontal="center"/>
      <protection hidden="1"/>
    </xf>
    <xf numFmtId="0" fontId="8" fillId="20" borderId="46" xfId="0" applyFont="1" applyFill="1" applyBorder="1" applyAlignment="1" applyProtection="1">
      <alignment horizontal="center" vertical="center"/>
      <protection hidden="1"/>
    </xf>
    <xf numFmtId="0" fontId="8" fillId="26" borderId="46" xfId="0" applyFont="1" applyFill="1" applyBorder="1" applyAlignment="1" applyProtection="1">
      <alignment horizontal="center" vertical="center"/>
      <protection hidden="1"/>
    </xf>
    <xf numFmtId="0" fontId="8" fillId="21" borderId="41" xfId="0" applyFont="1" applyFill="1" applyBorder="1" applyAlignment="1" applyProtection="1">
      <alignment horizontal="center" vertical="center"/>
      <protection hidden="1"/>
    </xf>
    <xf numFmtId="0" fontId="8" fillId="27" borderId="41" xfId="0" applyFont="1" applyFill="1" applyBorder="1" applyAlignment="1" applyProtection="1">
      <alignment horizontal="center" vertical="center"/>
      <protection hidden="1"/>
    </xf>
    <xf numFmtId="0" fontId="49" fillId="14" borderId="0" xfId="0" applyFont="1" applyFill="1" applyAlignment="1" applyProtection="1">
      <alignment horizontal="left" vertical="center"/>
      <protection hidden="1"/>
    </xf>
    <xf numFmtId="0" fontId="8" fillId="21" borderId="44" xfId="0" applyFont="1" applyFill="1" applyBorder="1" applyAlignment="1" applyProtection="1">
      <alignment horizontal="center" vertical="center"/>
      <protection hidden="1"/>
    </xf>
    <xf numFmtId="0" fontId="8" fillId="27" borderId="44" xfId="0" applyFont="1" applyFill="1" applyBorder="1" applyAlignment="1" applyProtection="1">
      <alignment horizontal="center" vertical="center"/>
      <protection hidden="1"/>
    </xf>
    <xf numFmtId="0" fontId="49" fillId="14" borderId="74" xfId="0" applyFont="1" applyFill="1" applyBorder="1" applyAlignment="1" applyProtection="1">
      <alignment horizontal="center" vertical="center"/>
      <protection hidden="1"/>
    </xf>
    <xf numFmtId="0" fontId="8" fillId="21" borderId="46" xfId="0" applyFont="1" applyFill="1" applyBorder="1" applyAlignment="1" applyProtection="1">
      <alignment horizontal="center" vertical="center"/>
      <protection hidden="1"/>
    </xf>
    <xf numFmtId="0" fontId="8" fillId="27" borderId="46" xfId="0" applyFont="1" applyFill="1" applyBorder="1" applyAlignment="1" applyProtection="1">
      <alignment horizontal="center" vertical="center"/>
      <protection hidden="1"/>
    </xf>
    <xf numFmtId="0" fontId="8" fillId="22" borderId="41" xfId="0" applyFont="1" applyFill="1" applyBorder="1" applyAlignment="1" applyProtection="1">
      <alignment horizontal="center" vertical="center"/>
      <protection hidden="1"/>
    </xf>
    <xf numFmtId="0" fontId="8" fillId="28" borderId="41" xfId="0" applyFont="1" applyFill="1" applyBorder="1" applyAlignment="1" applyProtection="1">
      <alignment horizontal="center" vertical="center"/>
      <protection hidden="1"/>
    </xf>
    <xf numFmtId="0" fontId="8" fillId="22" borderId="44" xfId="0" applyFont="1" applyFill="1" applyBorder="1" applyAlignment="1" applyProtection="1">
      <alignment horizontal="center" vertical="center"/>
      <protection hidden="1"/>
    </xf>
    <xf numFmtId="0" fontId="8" fillId="28" borderId="44" xfId="0" applyFont="1" applyFill="1" applyBorder="1" applyAlignment="1" applyProtection="1">
      <alignment horizontal="center" vertical="center"/>
      <protection hidden="1"/>
    </xf>
    <xf numFmtId="0" fontId="8" fillId="22" borderId="46" xfId="0" applyFont="1" applyFill="1" applyBorder="1" applyAlignment="1" applyProtection="1">
      <alignment horizontal="center" vertical="center"/>
      <protection hidden="1"/>
    </xf>
    <xf numFmtId="0" fontId="8" fillId="28" borderId="46" xfId="0" applyFont="1" applyFill="1" applyBorder="1" applyAlignment="1" applyProtection="1">
      <alignment horizontal="center" vertical="center"/>
      <protection hidden="1"/>
    </xf>
    <xf numFmtId="0" fontId="0" fillId="10" borderId="0" xfId="0" applyFill="1" applyProtection="1">
      <protection hidden="1"/>
    </xf>
    <xf numFmtId="0" fontId="0" fillId="15" borderId="0" xfId="0" applyFill="1" applyProtection="1">
      <protection hidden="1"/>
    </xf>
    <xf numFmtId="0" fontId="0" fillId="3" borderId="0" xfId="0" applyFill="1" applyAlignment="1" applyProtection="1">
      <alignment horizontal="center" vertical="center"/>
      <protection hidden="1"/>
    </xf>
    <xf numFmtId="0" fontId="0" fillId="0" borderId="150" xfId="0" applyBorder="1" applyAlignment="1" applyProtection="1">
      <alignment horizontal="right"/>
      <protection hidden="1"/>
    </xf>
    <xf numFmtId="165" fontId="0" fillId="0" borderId="151" xfId="0" applyNumberFormat="1" applyBorder="1" applyProtection="1">
      <protection hidden="1"/>
    </xf>
    <xf numFmtId="165" fontId="58" fillId="0" borderId="151" xfId="0" applyNumberFormat="1" applyFont="1" applyBorder="1" applyProtection="1">
      <protection hidden="1"/>
    </xf>
    <xf numFmtId="165" fontId="7" fillId="0" borderId="151" xfId="0" applyNumberFormat="1" applyFont="1" applyBorder="1" applyProtection="1">
      <protection hidden="1"/>
    </xf>
    <xf numFmtId="165" fontId="0" fillId="0" borderId="152" xfId="0" applyNumberFormat="1" applyBorder="1" applyProtection="1">
      <protection hidden="1"/>
    </xf>
    <xf numFmtId="0" fontId="49" fillId="42" borderId="0" xfId="0" applyFont="1" applyFill="1" applyAlignment="1" applyProtection="1">
      <alignment horizontal="center" vertical="center"/>
      <protection locked="0" hidden="1"/>
    </xf>
    <xf numFmtId="0" fontId="94" fillId="42" borderId="0" xfId="0" applyFont="1" applyFill="1" applyAlignment="1" applyProtection="1">
      <alignment horizontal="center" vertical="center"/>
      <protection hidden="1"/>
    </xf>
    <xf numFmtId="0" fontId="11" fillId="0" borderId="0" xfId="90" applyFont="1" applyAlignment="1">
      <alignment vertical="center"/>
    </xf>
    <xf numFmtId="0" fontId="7" fillId="0" borderId="0" xfId="90" applyFont="1"/>
    <xf numFmtId="0" fontId="95" fillId="0" borderId="0" xfId="0" applyFont="1" applyProtection="1">
      <protection hidden="1"/>
    </xf>
    <xf numFmtId="0" fontId="97" fillId="0" borderId="0" xfId="0" applyFont="1" applyProtection="1">
      <protection hidden="1"/>
    </xf>
    <xf numFmtId="0" fontId="98" fillId="0" borderId="0" xfId="0" applyFont="1" applyProtection="1">
      <protection hidden="1"/>
    </xf>
    <xf numFmtId="0" fontId="96" fillId="0" borderId="0" xfId="0" applyFont="1" applyProtection="1">
      <protection hidden="1"/>
    </xf>
    <xf numFmtId="0" fontId="7" fillId="0" borderId="0" xfId="0" applyFont="1" applyAlignment="1" applyProtection="1">
      <alignment horizontal="left" vertical="center"/>
      <protection locked="0"/>
    </xf>
    <xf numFmtId="1" fontId="50" fillId="4" borderId="42" xfId="0" applyNumberFormat="1" applyFont="1" applyFill="1" applyBorder="1" applyAlignment="1" applyProtection="1">
      <alignment horizontal="center" vertical="center"/>
      <protection hidden="1"/>
    </xf>
    <xf numFmtId="1" fontId="50" fillId="4" borderId="0" xfId="0" quotePrefix="1" applyNumberFormat="1" applyFont="1" applyFill="1" applyAlignment="1" applyProtection="1">
      <alignment horizontal="center" vertical="center"/>
      <protection hidden="1"/>
    </xf>
    <xf numFmtId="1" fontId="50" fillId="4" borderId="47" xfId="0" applyNumberFormat="1" applyFont="1" applyFill="1" applyBorder="1" applyAlignment="1" applyProtection="1">
      <alignment horizontal="center" vertical="center"/>
      <protection hidden="1"/>
    </xf>
    <xf numFmtId="0" fontId="0" fillId="42" borderId="0" xfId="0" applyFill="1" applyAlignment="1" applyProtection="1">
      <alignment horizontal="left" vertical="center"/>
      <protection hidden="1"/>
    </xf>
    <xf numFmtId="0" fontId="7" fillId="0" borderId="0" xfId="90" applyFont="1" applyAlignment="1">
      <alignment vertical="center"/>
    </xf>
    <xf numFmtId="0" fontId="7" fillId="0" borderId="0" xfId="0" applyFont="1" applyAlignment="1" applyProtection="1">
      <alignment vertical="center"/>
      <protection hidden="1"/>
    </xf>
    <xf numFmtId="22" fontId="7" fillId="0" borderId="0" xfId="0" applyNumberFormat="1" applyFont="1"/>
    <xf numFmtId="0" fontId="49" fillId="4" borderId="0" xfId="0" applyFont="1" applyFill="1" applyAlignment="1" applyProtection="1">
      <alignment horizontal="left" wrapText="1"/>
      <protection hidden="1"/>
    </xf>
    <xf numFmtId="0" fontId="49" fillId="4" borderId="47" xfId="0" applyFont="1" applyFill="1" applyBorder="1" applyAlignment="1" applyProtection="1">
      <alignment horizontal="left" wrapText="1"/>
      <protection hidden="1"/>
    </xf>
    <xf numFmtId="0" fontId="49" fillId="4" borderId="37" xfId="0" applyFont="1" applyFill="1" applyBorder="1" applyAlignment="1" applyProtection="1">
      <alignment horizontal="center" vertical="center" wrapText="1"/>
      <protection hidden="1"/>
    </xf>
    <xf numFmtId="0" fontId="49" fillId="4" borderId="0" xfId="0" applyFont="1" applyFill="1" applyAlignment="1" applyProtection="1">
      <alignment horizontal="center" vertical="center" wrapText="1"/>
      <protection hidden="1"/>
    </xf>
    <xf numFmtId="0" fontId="49" fillId="4" borderId="47" xfId="0" applyFont="1" applyFill="1" applyBorder="1" applyAlignment="1" applyProtection="1">
      <alignment horizontal="center" vertical="center" wrapText="1"/>
      <protection hidden="1"/>
    </xf>
    <xf numFmtId="0" fontId="4" fillId="42" borderId="0" xfId="0" applyFont="1" applyFill="1" applyAlignment="1" applyProtection="1">
      <alignment horizontal="center" wrapText="1"/>
      <protection hidden="1"/>
    </xf>
    <xf numFmtId="0" fontId="49" fillId="4" borderId="37" xfId="0" applyFont="1" applyFill="1" applyBorder="1" applyAlignment="1" applyProtection="1">
      <alignment vertical="center"/>
      <protection hidden="1"/>
    </xf>
    <xf numFmtId="0" fontId="49" fillId="4" borderId="0" xfId="0" applyFont="1" applyFill="1" applyAlignment="1" applyProtection="1">
      <alignment vertical="center"/>
      <protection hidden="1"/>
    </xf>
    <xf numFmtId="0" fontId="49" fillId="4" borderId="38" xfId="0" applyFont="1" applyFill="1" applyBorder="1" applyAlignment="1" applyProtection="1">
      <alignment vertical="center"/>
      <protection hidden="1"/>
    </xf>
    <xf numFmtId="0" fontId="49" fillId="4" borderId="47" xfId="0" applyFont="1" applyFill="1" applyBorder="1" applyAlignment="1" applyProtection="1">
      <alignment vertical="center"/>
      <protection hidden="1"/>
    </xf>
    <xf numFmtId="0" fontId="11" fillId="4" borderId="42" xfId="0" applyFont="1" applyFill="1" applyBorder="1" applyAlignment="1" applyProtection="1">
      <alignment vertical="center"/>
      <protection hidden="1"/>
    </xf>
    <xf numFmtId="14" fontId="7" fillId="0" borderId="0" xfId="0" applyNumberFormat="1" applyFont="1"/>
    <xf numFmtId="0" fontId="22" fillId="0" borderId="0" xfId="0" applyFont="1" applyAlignment="1" applyProtection="1">
      <alignment vertical="center"/>
      <protection hidden="1"/>
    </xf>
    <xf numFmtId="0" fontId="7" fillId="0" borderId="0" xfId="0" applyFont="1" applyAlignment="1">
      <alignment wrapText="1"/>
    </xf>
    <xf numFmtId="0" fontId="35" fillId="0" borderId="0" xfId="0" applyFont="1" applyAlignment="1">
      <alignment vertical="center" wrapText="1"/>
    </xf>
    <xf numFmtId="0" fontId="65" fillId="42" borderId="0" xfId="0" applyFont="1" applyFill="1" applyAlignment="1" applyProtection="1">
      <alignment horizontal="centerContinuous"/>
      <protection hidden="1"/>
    </xf>
    <xf numFmtId="0" fontId="4" fillId="42" borderId="0" xfId="0" applyFont="1" applyFill="1" applyAlignment="1" applyProtection="1">
      <alignment horizontal="centerContinuous"/>
      <protection hidden="1"/>
    </xf>
    <xf numFmtId="0" fontId="7" fillId="0" borderId="0" xfId="0" applyFont="1" applyProtection="1">
      <protection locked="0" hidden="1"/>
    </xf>
    <xf numFmtId="0" fontId="49" fillId="0" borderId="0" xfId="90" applyFont="1" applyProtection="1">
      <protection locked="0" hidden="1"/>
    </xf>
    <xf numFmtId="0" fontId="97" fillId="0" borderId="0" xfId="0" applyFont="1"/>
    <xf numFmtId="0" fontId="58" fillId="42" borderId="0" xfId="0" applyFont="1" applyFill="1" applyAlignment="1" applyProtection="1">
      <alignment horizontal="left"/>
      <protection locked="0" hidden="1"/>
    </xf>
    <xf numFmtId="0" fontId="11" fillId="0" borderId="0" xfId="0" applyFont="1" applyAlignment="1" applyProtection="1">
      <alignment horizontal="center"/>
      <protection hidden="1"/>
    </xf>
    <xf numFmtId="0" fontId="11" fillId="0" borderId="0" xfId="0" applyFont="1" applyAlignment="1" applyProtection="1">
      <alignment horizontal="left" indent="1"/>
      <protection hidden="1"/>
    </xf>
    <xf numFmtId="0" fontId="7" fillId="0" borderId="0" xfId="0" applyFont="1" applyAlignment="1" applyProtection="1">
      <alignment horizontal="left"/>
      <protection hidden="1"/>
    </xf>
    <xf numFmtId="0" fontId="41" fillId="0" borderId="0" xfId="0" applyFont="1" applyAlignment="1" applyProtection="1">
      <alignment horizontal="center" wrapText="1"/>
      <protection hidden="1"/>
    </xf>
    <xf numFmtId="0" fontId="7" fillId="0" borderId="0" xfId="0" applyFont="1" applyAlignment="1" applyProtection="1">
      <alignment horizontal="left" vertical="center"/>
      <protection hidden="1"/>
    </xf>
    <xf numFmtId="0" fontId="7" fillId="0" borderId="0" xfId="0" quotePrefix="1" applyFont="1" applyAlignment="1" applyProtection="1">
      <alignment horizontal="left" vertical="center"/>
      <protection hidden="1"/>
    </xf>
    <xf numFmtId="22" fontId="11" fillId="0" borderId="0" xfId="0" applyNumberFormat="1" applyFont="1"/>
    <xf numFmtId="0" fontId="8" fillId="0" borderId="0" xfId="0" quotePrefix="1" applyFont="1"/>
    <xf numFmtId="0" fontId="96" fillId="0" borderId="0" xfId="0" applyFont="1"/>
    <xf numFmtId="20" fontId="7" fillId="0" borderId="0" xfId="0" applyNumberFormat="1" applyFont="1"/>
    <xf numFmtId="22" fontId="18" fillId="0" borderId="0" xfId="0" applyNumberFormat="1" applyFont="1" applyAlignment="1" applyProtection="1">
      <alignment vertical="center"/>
      <protection hidden="1"/>
    </xf>
    <xf numFmtId="22" fontId="18" fillId="0" borderId="0" xfId="0" applyNumberFormat="1" applyFont="1" applyAlignment="1" applyProtection="1">
      <alignment horizontal="centerContinuous" vertical="center"/>
      <protection hidden="1"/>
    </xf>
    <xf numFmtId="0" fontId="7" fillId="0" borderId="0" xfId="0" quotePrefix="1" applyFont="1"/>
    <xf numFmtId="16" fontId="7" fillId="0" borderId="0" xfId="0" quotePrefix="1" applyNumberFormat="1" applyFont="1" applyProtection="1">
      <protection hidden="1"/>
    </xf>
    <xf numFmtId="0" fontId="45" fillId="44" borderId="142" xfId="27" applyFont="1" applyFill="1" applyBorder="1" applyAlignment="1" applyProtection="1">
      <alignment horizontal="center" vertical="center"/>
      <protection hidden="1"/>
    </xf>
    <xf numFmtId="0" fontId="45" fillId="44" borderId="143" xfId="27" applyFont="1" applyFill="1" applyBorder="1" applyAlignment="1" applyProtection="1">
      <alignment horizontal="center" vertical="center"/>
      <protection hidden="1"/>
    </xf>
    <xf numFmtId="0" fontId="45" fillId="44" borderId="144" xfId="27" applyFont="1" applyFill="1" applyBorder="1" applyAlignment="1" applyProtection="1">
      <alignment horizontal="center" vertical="center"/>
      <protection hidden="1"/>
    </xf>
    <xf numFmtId="0" fontId="44" fillId="42" borderId="0" xfId="27" applyFont="1" applyFill="1" applyBorder="1" applyAlignment="1" applyProtection="1">
      <alignment horizontal="center" vertical="center" wrapText="1"/>
      <protection hidden="1"/>
    </xf>
    <xf numFmtId="0" fontId="44" fillId="42" borderId="0" xfId="0" applyFont="1" applyFill="1" applyAlignment="1" applyProtection="1">
      <alignment horizontal="center" vertical="center" wrapText="1"/>
      <protection hidden="1"/>
    </xf>
    <xf numFmtId="0" fontId="78" fillId="42" borderId="0" xfId="0" applyFont="1" applyFill="1" applyAlignment="1" applyProtection="1">
      <alignment horizontal="center" vertical="center"/>
      <protection hidden="1"/>
    </xf>
    <xf numFmtId="0" fontId="53" fillId="42" borderId="0" xfId="27" applyFont="1" applyFill="1" applyBorder="1" applyAlignment="1" applyProtection="1">
      <alignment horizontal="left" vertical="center" wrapText="1"/>
      <protection hidden="1"/>
    </xf>
    <xf numFmtId="0" fontId="53" fillId="42" borderId="0" xfId="0" applyFont="1" applyFill="1" applyAlignment="1" applyProtection="1">
      <alignment horizontal="left" vertical="center" wrapText="1"/>
      <protection hidden="1"/>
    </xf>
    <xf numFmtId="14" fontId="17" fillId="33" borderId="44" xfId="0" applyNumberFormat="1" applyFont="1" applyFill="1" applyBorder="1" applyAlignment="1" applyProtection="1">
      <alignment horizontal="center" vertical="center" textRotation="2"/>
      <protection hidden="1"/>
    </xf>
    <xf numFmtId="14" fontId="17" fillId="33" borderId="46" xfId="0" applyNumberFormat="1" applyFont="1" applyFill="1" applyBorder="1" applyAlignment="1" applyProtection="1">
      <alignment horizontal="center" vertical="center" textRotation="2"/>
      <protection hidden="1"/>
    </xf>
    <xf numFmtId="14" fontId="17" fillId="19" borderId="44" xfId="0" applyNumberFormat="1" applyFont="1" applyFill="1" applyBorder="1" applyAlignment="1" applyProtection="1">
      <alignment horizontal="center" vertical="center" textRotation="2"/>
      <protection hidden="1"/>
    </xf>
    <xf numFmtId="14" fontId="17" fillId="19" borderId="46" xfId="0" applyNumberFormat="1" applyFont="1" applyFill="1" applyBorder="1" applyAlignment="1" applyProtection="1">
      <alignment horizontal="center" vertical="center" textRotation="2"/>
      <protection hidden="1"/>
    </xf>
    <xf numFmtId="0" fontId="52" fillId="42" borderId="0" xfId="0" applyFont="1" applyFill="1" applyAlignment="1" applyProtection="1">
      <alignment horizontal="center" vertical="center"/>
      <protection hidden="1"/>
    </xf>
    <xf numFmtId="0" fontId="12" fillId="13" borderId="6" xfId="0" applyFont="1" applyFill="1" applyBorder="1" applyAlignment="1" applyProtection="1">
      <alignment horizontal="center" vertical="center" wrapText="1"/>
      <protection hidden="1"/>
    </xf>
    <xf numFmtId="0" fontId="12" fillId="13" borderId="7" xfId="0" applyFont="1" applyFill="1" applyBorder="1" applyAlignment="1" applyProtection="1">
      <alignment horizontal="center" vertical="center" wrapText="1"/>
      <protection hidden="1"/>
    </xf>
    <xf numFmtId="0" fontId="12" fillId="13" borderId="8" xfId="0" applyFont="1" applyFill="1" applyBorder="1" applyAlignment="1" applyProtection="1">
      <alignment horizontal="center" vertical="center" wrapText="1"/>
      <protection hidden="1"/>
    </xf>
    <xf numFmtId="0" fontId="12" fillId="13" borderId="9" xfId="0" applyFont="1" applyFill="1" applyBorder="1" applyAlignment="1" applyProtection="1">
      <alignment horizontal="center" vertical="center" wrapText="1"/>
      <protection hidden="1"/>
    </xf>
    <xf numFmtId="0" fontId="12" fillId="13" borderId="0" xfId="0" applyFont="1" applyFill="1" applyAlignment="1" applyProtection="1">
      <alignment horizontal="center" vertical="center" wrapText="1"/>
      <protection hidden="1"/>
    </xf>
    <xf numFmtId="0" fontId="12" fillId="13" borderId="10" xfId="0" applyFont="1" applyFill="1" applyBorder="1" applyAlignment="1" applyProtection="1">
      <alignment horizontal="center" vertical="center" wrapText="1"/>
      <protection hidden="1"/>
    </xf>
    <xf numFmtId="14" fontId="17" fillId="34" borderId="44" xfId="0" applyNumberFormat="1" applyFont="1" applyFill="1" applyBorder="1" applyAlignment="1" applyProtection="1">
      <alignment horizontal="center" vertical="center" textRotation="2"/>
      <protection hidden="1"/>
    </xf>
    <xf numFmtId="14" fontId="17" fillId="34" borderId="46" xfId="0" applyNumberFormat="1" applyFont="1" applyFill="1" applyBorder="1" applyAlignment="1" applyProtection="1">
      <alignment horizontal="center" vertical="center" textRotation="2"/>
      <protection hidden="1"/>
    </xf>
    <xf numFmtId="14" fontId="17" fillId="20" borderId="44" xfId="0" applyNumberFormat="1" applyFont="1" applyFill="1" applyBorder="1" applyAlignment="1" applyProtection="1">
      <alignment horizontal="center" vertical="center" textRotation="2"/>
      <protection hidden="1"/>
    </xf>
    <xf numFmtId="14" fontId="17" fillId="20" borderId="46" xfId="0" applyNumberFormat="1" applyFont="1" applyFill="1" applyBorder="1" applyAlignment="1" applyProtection="1">
      <alignment horizontal="center" vertical="center" textRotation="2"/>
      <protection hidden="1"/>
    </xf>
    <xf numFmtId="14" fontId="17" fillId="21" borderId="44" xfId="0" applyNumberFormat="1" applyFont="1" applyFill="1" applyBorder="1" applyAlignment="1" applyProtection="1">
      <alignment horizontal="center" vertical="center" textRotation="2"/>
      <protection hidden="1"/>
    </xf>
    <xf numFmtId="14" fontId="17" fillId="21" borderId="46" xfId="0" applyNumberFormat="1" applyFont="1" applyFill="1" applyBorder="1" applyAlignment="1" applyProtection="1">
      <alignment horizontal="center" vertical="center" textRotation="2"/>
      <protection hidden="1"/>
    </xf>
    <xf numFmtId="0" fontId="71" fillId="45" borderId="137" xfId="0" applyFont="1" applyFill="1" applyBorder="1" applyAlignment="1" applyProtection="1">
      <alignment horizontal="center" vertical="center"/>
      <protection locked="0" hidden="1"/>
    </xf>
    <xf numFmtId="0" fontId="71" fillId="45" borderId="138" xfId="0" applyFont="1" applyFill="1" applyBorder="1" applyAlignment="1" applyProtection="1">
      <alignment horizontal="center" vertical="center"/>
      <protection locked="0" hidden="1"/>
    </xf>
    <xf numFmtId="0" fontId="26" fillId="13" borderId="9" xfId="0" applyFont="1" applyFill="1" applyBorder="1" applyAlignment="1">
      <alignment horizontal="center" vertical="center" wrapText="1"/>
    </xf>
    <xf numFmtId="0" fontId="26" fillId="13" borderId="0" xfId="0" applyFont="1" applyFill="1" applyAlignment="1">
      <alignment horizontal="center" vertical="center" wrapText="1"/>
    </xf>
    <xf numFmtId="0" fontId="26" fillId="13" borderId="10" xfId="0" applyFont="1" applyFill="1" applyBorder="1" applyAlignment="1">
      <alignment horizontal="center" vertical="center" wrapText="1"/>
    </xf>
    <xf numFmtId="0" fontId="26" fillId="13" borderId="11" xfId="0" applyFont="1" applyFill="1" applyBorder="1" applyAlignment="1">
      <alignment horizontal="center" vertical="center" wrapText="1"/>
    </xf>
    <xf numFmtId="0" fontId="26" fillId="13" borderId="12" xfId="0" applyFont="1" applyFill="1" applyBorder="1" applyAlignment="1">
      <alignment horizontal="center" vertical="center" wrapText="1"/>
    </xf>
    <xf numFmtId="0" fontId="26" fillId="13" borderId="13" xfId="0" applyFont="1" applyFill="1" applyBorder="1" applyAlignment="1">
      <alignment horizontal="center" vertical="center" wrapText="1"/>
    </xf>
    <xf numFmtId="14" fontId="17" fillId="22" borderId="44" xfId="0" applyNumberFormat="1" applyFont="1" applyFill="1" applyBorder="1" applyAlignment="1" applyProtection="1">
      <alignment horizontal="center" vertical="center" textRotation="2"/>
      <protection hidden="1"/>
    </xf>
    <xf numFmtId="14" fontId="17" fillId="22" borderId="46" xfId="0" applyNumberFormat="1" applyFont="1" applyFill="1" applyBorder="1" applyAlignment="1" applyProtection="1">
      <alignment horizontal="center" vertical="center" textRotation="2"/>
      <protection hidden="1"/>
    </xf>
    <xf numFmtId="14" fontId="17" fillId="24" borderId="44" xfId="0" applyNumberFormat="1" applyFont="1" applyFill="1" applyBorder="1" applyAlignment="1" applyProtection="1">
      <alignment horizontal="center" vertical="center" textRotation="2"/>
      <protection hidden="1"/>
    </xf>
    <xf numFmtId="14" fontId="17" fillId="24" borderId="46" xfId="0" applyNumberFormat="1" applyFont="1" applyFill="1" applyBorder="1" applyAlignment="1" applyProtection="1">
      <alignment horizontal="center" vertical="center" textRotation="2"/>
      <protection hidden="1"/>
    </xf>
    <xf numFmtId="14" fontId="17" fillId="26" borderId="44" xfId="0" applyNumberFormat="1" applyFont="1" applyFill="1" applyBorder="1" applyAlignment="1" applyProtection="1">
      <alignment horizontal="center" vertical="center" textRotation="2"/>
      <protection hidden="1"/>
    </xf>
    <xf numFmtId="14" fontId="17" fillId="26" borderId="46" xfId="0" applyNumberFormat="1" applyFont="1" applyFill="1" applyBorder="1" applyAlignment="1" applyProtection="1">
      <alignment horizontal="center" vertical="center" textRotation="2"/>
      <protection hidden="1"/>
    </xf>
    <xf numFmtId="14" fontId="17" fillId="28" borderId="44" xfId="0" applyNumberFormat="1" applyFont="1" applyFill="1" applyBorder="1" applyAlignment="1" applyProtection="1">
      <alignment horizontal="center" vertical="center" textRotation="2"/>
      <protection hidden="1"/>
    </xf>
    <xf numFmtId="14" fontId="17" fillId="28" borderId="46" xfId="0" applyNumberFormat="1" applyFont="1" applyFill="1" applyBorder="1" applyAlignment="1" applyProtection="1">
      <alignment horizontal="center" vertical="center" textRotation="2"/>
      <protection hidden="1"/>
    </xf>
    <xf numFmtId="14" fontId="17" fillId="25" borderId="44" xfId="0" applyNumberFormat="1" applyFont="1" applyFill="1" applyBorder="1" applyAlignment="1" applyProtection="1">
      <alignment horizontal="center" vertical="center" textRotation="2"/>
      <protection hidden="1"/>
    </xf>
    <xf numFmtId="14" fontId="17" fillId="25" borderId="46" xfId="0" applyNumberFormat="1" applyFont="1" applyFill="1" applyBorder="1" applyAlignment="1" applyProtection="1">
      <alignment horizontal="center" vertical="center" textRotation="2"/>
      <protection hidden="1"/>
    </xf>
    <xf numFmtId="14" fontId="17" fillId="27" borderId="44" xfId="0" applyNumberFormat="1" applyFont="1" applyFill="1" applyBorder="1" applyAlignment="1" applyProtection="1">
      <alignment horizontal="center" vertical="center" textRotation="2"/>
      <protection hidden="1"/>
    </xf>
    <xf numFmtId="14" fontId="17" fillId="27" borderId="46" xfId="0" applyNumberFormat="1" applyFont="1" applyFill="1" applyBorder="1" applyAlignment="1" applyProtection="1">
      <alignment horizontal="center" vertical="center" textRotation="2"/>
      <protection hidden="1"/>
    </xf>
    <xf numFmtId="14" fontId="32" fillId="35" borderId="44" xfId="0" applyNumberFormat="1" applyFont="1" applyFill="1" applyBorder="1" applyAlignment="1" applyProtection="1">
      <alignment horizontal="center" vertical="center" textRotation="2"/>
      <protection hidden="1"/>
    </xf>
    <xf numFmtId="14" fontId="32" fillId="35" borderId="46" xfId="0" applyNumberFormat="1" applyFont="1" applyFill="1" applyBorder="1" applyAlignment="1" applyProtection="1">
      <alignment horizontal="center" vertical="center" textRotation="2"/>
      <protection hidden="1"/>
    </xf>
    <xf numFmtId="14" fontId="33" fillId="36" borderId="59" xfId="0" quotePrefix="1" applyNumberFormat="1" applyFont="1" applyFill="1" applyBorder="1" applyAlignment="1" applyProtection="1">
      <alignment horizontal="center" vertical="center"/>
      <protection hidden="1"/>
    </xf>
    <xf numFmtId="14" fontId="33" fillId="36" borderId="58" xfId="0" quotePrefix="1" applyNumberFormat="1" applyFont="1" applyFill="1" applyBorder="1" applyAlignment="1" applyProtection="1">
      <alignment horizontal="center" vertical="center"/>
      <protection hidden="1"/>
    </xf>
    <xf numFmtId="14" fontId="33" fillId="35" borderId="59" xfId="0" quotePrefix="1" applyNumberFormat="1" applyFont="1" applyFill="1" applyBorder="1" applyAlignment="1" applyProtection="1">
      <alignment horizontal="center" vertical="center"/>
      <protection hidden="1"/>
    </xf>
    <xf numFmtId="14" fontId="33" fillId="35" borderId="58" xfId="0" quotePrefix="1" applyNumberFormat="1" applyFont="1" applyFill="1" applyBorder="1" applyAlignment="1" applyProtection="1">
      <alignment horizontal="center" vertical="center"/>
      <protection hidden="1"/>
    </xf>
    <xf numFmtId="14" fontId="34" fillId="36" borderId="110" xfId="0" quotePrefix="1" applyNumberFormat="1" applyFont="1" applyFill="1" applyBorder="1" applyAlignment="1" applyProtection="1">
      <alignment horizontal="center" vertical="center"/>
      <protection hidden="1"/>
    </xf>
    <xf numFmtId="14" fontId="34" fillId="36" borderId="111" xfId="0" quotePrefix="1" applyNumberFormat="1" applyFont="1" applyFill="1" applyBorder="1" applyAlignment="1" applyProtection="1">
      <alignment horizontal="center" vertical="center"/>
      <protection hidden="1"/>
    </xf>
    <xf numFmtId="14" fontId="17" fillId="23" borderId="44" xfId="0" applyNumberFormat="1" applyFont="1" applyFill="1" applyBorder="1" applyAlignment="1" applyProtection="1">
      <alignment horizontal="center" vertical="center" textRotation="2"/>
      <protection hidden="1"/>
    </xf>
    <xf numFmtId="14" fontId="17" fillId="23" borderId="46" xfId="0" applyNumberFormat="1" applyFont="1" applyFill="1" applyBorder="1" applyAlignment="1" applyProtection="1">
      <alignment horizontal="center" vertical="center" textRotation="2"/>
      <protection hidden="1"/>
    </xf>
    <xf numFmtId="0" fontId="48" fillId="9" borderId="0" xfId="0" applyFont="1" applyFill="1" applyAlignment="1">
      <alignment horizontal="left" vertical="center" wrapText="1"/>
    </xf>
    <xf numFmtId="14" fontId="84" fillId="36" borderId="0" xfId="0" quotePrefix="1" applyNumberFormat="1" applyFont="1" applyFill="1" applyAlignment="1" applyProtection="1">
      <alignment horizontal="center" vertical="top"/>
      <protection hidden="1"/>
    </xf>
    <xf numFmtId="0" fontId="48" fillId="8" borderId="22" xfId="0" applyFont="1" applyFill="1" applyBorder="1" applyAlignment="1">
      <alignment horizontal="left" vertical="center" wrapText="1"/>
    </xf>
    <xf numFmtId="0" fontId="48" fillId="8" borderId="25" xfId="0" applyFont="1" applyFill="1" applyBorder="1" applyAlignment="1">
      <alignment horizontal="left" vertical="center" wrapText="1"/>
    </xf>
    <xf numFmtId="0" fontId="48" fillId="9" borderId="20" xfId="0" applyFont="1" applyFill="1" applyBorder="1" applyAlignment="1">
      <alignment horizontal="left" vertical="center" wrapText="1"/>
    </xf>
    <xf numFmtId="0" fontId="48" fillId="9" borderId="21" xfId="0" applyFont="1" applyFill="1" applyBorder="1" applyAlignment="1">
      <alignment horizontal="left" vertical="center" wrapText="1"/>
    </xf>
    <xf numFmtId="0" fontId="49" fillId="9" borderId="1" xfId="0" applyFont="1" applyFill="1" applyBorder="1" applyAlignment="1">
      <alignment horizontal="left" vertical="center" wrapText="1"/>
    </xf>
    <xf numFmtId="0" fontId="49" fillId="9" borderId="0" xfId="0" applyFont="1" applyFill="1" applyAlignment="1">
      <alignment horizontal="left" vertical="center" wrapText="1"/>
    </xf>
    <xf numFmtId="0" fontId="91" fillId="13" borderId="0" xfId="0" applyFont="1" applyFill="1" applyAlignment="1">
      <alignment horizontal="center" vertical="top"/>
    </xf>
    <xf numFmtId="0" fontId="91" fillId="13" borderId="22" xfId="0" applyFont="1" applyFill="1" applyBorder="1" applyAlignment="1">
      <alignment horizontal="center" vertical="top"/>
    </xf>
    <xf numFmtId="0" fontId="91" fillId="3" borderId="0" xfId="0" applyFont="1" applyFill="1" applyAlignment="1">
      <alignment horizontal="center" vertical="top"/>
    </xf>
    <xf numFmtId="0" fontId="91" fillId="3" borderId="22" xfId="0" applyFont="1" applyFill="1" applyBorder="1" applyAlignment="1">
      <alignment horizontal="center" vertical="top"/>
    </xf>
    <xf numFmtId="14" fontId="84" fillId="13" borderId="0" xfId="0" applyNumberFormat="1" applyFont="1" applyFill="1" applyAlignment="1" applyProtection="1">
      <alignment horizontal="center" vertical="center" textRotation="2"/>
      <protection hidden="1"/>
    </xf>
    <xf numFmtId="0" fontId="80" fillId="42" borderId="0" xfId="0" applyFont="1" applyFill="1" applyAlignment="1" applyProtection="1">
      <alignment horizontal="center" vertical="center"/>
      <protection hidden="1"/>
    </xf>
    <xf numFmtId="0" fontId="48" fillId="9" borderId="1" xfId="0" applyFont="1" applyFill="1" applyBorder="1" applyAlignment="1">
      <alignment horizontal="left" vertical="center" wrapText="1"/>
    </xf>
    <xf numFmtId="0" fontId="48" fillId="8" borderId="1" xfId="0" applyFont="1" applyFill="1" applyBorder="1" applyAlignment="1">
      <alignment horizontal="left" vertical="center" wrapText="1"/>
    </xf>
    <xf numFmtId="0" fontId="48" fillId="47" borderId="0" xfId="0" applyFont="1" applyFill="1" applyAlignment="1">
      <alignment horizontal="left" vertical="center" wrapText="1"/>
    </xf>
    <xf numFmtId="0" fontId="48" fillId="47" borderId="4" xfId="0" applyFont="1" applyFill="1" applyBorder="1" applyAlignment="1">
      <alignment horizontal="left" vertical="center" wrapText="1"/>
    </xf>
    <xf numFmtId="14" fontId="86" fillId="3" borderId="0" xfId="0" quotePrefix="1" applyNumberFormat="1" applyFont="1" applyFill="1" applyAlignment="1" applyProtection="1">
      <alignment horizontal="center" vertical="center"/>
      <protection hidden="1"/>
    </xf>
    <xf numFmtId="0" fontId="91" fillId="7" borderId="0" xfId="0" applyFont="1" applyFill="1" applyAlignment="1">
      <alignment horizontal="center" vertical="top"/>
    </xf>
    <xf numFmtId="0" fontId="91" fillId="7" borderId="22" xfId="0" applyFont="1" applyFill="1" applyBorder="1" applyAlignment="1">
      <alignment horizontal="center" vertical="top"/>
    </xf>
    <xf numFmtId="14" fontId="84" fillId="35" borderId="0" xfId="0" quotePrefix="1" applyNumberFormat="1" applyFont="1" applyFill="1" applyAlignment="1" applyProtection="1">
      <alignment horizontal="center" vertical="top"/>
      <protection hidden="1"/>
    </xf>
    <xf numFmtId="0" fontId="84" fillId="3" borderId="0" xfId="0" applyFont="1" applyFill="1" applyAlignment="1" applyProtection="1">
      <alignment horizontal="center" vertical="center"/>
      <protection hidden="1"/>
    </xf>
    <xf numFmtId="0" fontId="48" fillId="5" borderId="0" xfId="0" applyFont="1" applyFill="1" applyAlignment="1" applyProtection="1">
      <alignment horizontal="left" vertical="center" wrapText="1"/>
      <protection hidden="1"/>
    </xf>
    <xf numFmtId="0" fontId="48" fillId="12" borderId="0" xfId="0" applyFont="1" applyFill="1" applyAlignment="1">
      <alignment horizontal="center" vertical="center" wrapText="1"/>
    </xf>
    <xf numFmtId="14" fontId="87" fillId="3" borderId="0" xfId="0" quotePrefix="1" applyNumberFormat="1" applyFont="1" applyFill="1" applyAlignment="1" applyProtection="1">
      <alignment horizontal="center" vertical="center"/>
      <protection hidden="1"/>
    </xf>
    <xf numFmtId="14" fontId="84" fillId="6" borderId="0" xfId="0" quotePrefix="1" applyNumberFormat="1" applyFont="1" applyFill="1" applyAlignment="1" applyProtection="1">
      <alignment horizontal="center" vertical="top" wrapText="1"/>
      <protection hidden="1"/>
    </xf>
    <xf numFmtId="0" fontId="49" fillId="42" borderId="124" xfId="90" applyFont="1" applyFill="1" applyBorder="1" applyAlignment="1" applyProtection="1">
      <alignment horizontal="left" vertical="center" wrapText="1"/>
      <protection hidden="1"/>
    </xf>
    <xf numFmtId="0" fontId="49" fillId="42" borderId="125" xfId="90" applyFont="1" applyFill="1" applyBorder="1" applyAlignment="1" applyProtection="1">
      <alignment horizontal="left" vertical="center" wrapText="1"/>
      <protection hidden="1"/>
    </xf>
    <xf numFmtId="0" fontId="49" fillId="42" borderId="126" xfId="90" applyFont="1" applyFill="1" applyBorder="1" applyAlignment="1" applyProtection="1">
      <alignment horizontal="left" vertical="center" wrapText="1"/>
      <protection hidden="1"/>
    </xf>
    <xf numFmtId="0" fontId="49" fillId="42" borderId="127" xfId="90" applyFont="1" applyFill="1" applyBorder="1" applyAlignment="1" applyProtection="1">
      <alignment horizontal="left" vertical="center" wrapText="1"/>
      <protection hidden="1"/>
    </xf>
    <xf numFmtId="0" fontId="49" fillId="42" borderId="0" xfId="90" applyFont="1" applyFill="1" applyAlignment="1" applyProtection="1">
      <alignment horizontal="left" vertical="center" wrapText="1"/>
      <protection hidden="1"/>
    </xf>
    <xf numFmtId="0" fontId="49" fillId="42" borderId="128" xfId="90" applyFont="1" applyFill="1" applyBorder="1" applyAlignment="1" applyProtection="1">
      <alignment horizontal="left" vertical="center" wrapText="1"/>
      <protection hidden="1"/>
    </xf>
    <xf numFmtId="0" fontId="49" fillId="42" borderId="129" xfId="90" applyFont="1" applyFill="1" applyBorder="1" applyAlignment="1" applyProtection="1">
      <alignment horizontal="left" vertical="center" wrapText="1"/>
      <protection hidden="1"/>
    </xf>
    <xf numFmtId="0" fontId="49" fillId="42" borderId="130" xfId="90" applyFont="1" applyFill="1" applyBorder="1" applyAlignment="1" applyProtection="1">
      <alignment horizontal="left" vertical="center" wrapText="1"/>
      <protection hidden="1"/>
    </xf>
    <xf numFmtId="0" fontId="49" fillId="42" borderId="131" xfId="90" applyFont="1" applyFill="1" applyBorder="1" applyAlignment="1" applyProtection="1">
      <alignment horizontal="left" vertical="center" wrapText="1"/>
      <protection hidden="1"/>
    </xf>
    <xf numFmtId="0" fontId="76" fillId="44" borderId="142" xfId="0" applyFont="1" applyFill="1" applyBorder="1" applyAlignment="1">
      <alignment horizontal="center" vertical="center"/>
    </xf>
    <xf numFmtId="0" fontId="76" fillId="44" borderId="143" xfId="0" applyFont="1" applyFill="1" applyBorder="1" applyAlignment="1">
      <alignment horizontal="center" vertical="center"/>
    </xf>
    <xf numFmtId="0" fontId="76" fillId="44" borderId="144" xfId="0" applyFont="1" applyFill="1" applyBorder="1" applyAlignment="1">
      <alignment horizontal="center" vertical="center"/>
    </xf>
    <xf numFmtId="0" fontId="7" fillId="0" borderId="0" xfId="0" applyFont="1" applyAlignment="1" applyProtection="1">
      <alignment horizontal="left" vertical="center" wrapText="1"/>
      <protection hidden="1"/>
    </xf>
  </cellXfs>
  <cellStyles count="95">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cellStyle name="Hipervínculo 2" xfId="94" xr:uid="{008C30FC-4EBF-9B4A-9B7C-80AE025592FE}"/>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Normal" xfId="0" builtinId="0"/>
    <cellStyle name="Normal 2" xfId="90" xr:uid="{0AC5020E-4D99-3148-A28E-0E42E9704295}"/>
    <cellStyle name="Normal 3" xfId="91" xr:uid="{2A9FD873-A6B0-984A-A948-86D03F58519E}"/>
    <cellStyle name="Normal 3 2" xfId="92" xr:uid="{B87EC118-49F7-2B41-85F8-71A948EE0307}"/>
    <cellStyle name="Normal 4" xfId="93" xr:uid="{6104D907-AD2C-5845-90F7-E59DF85A9F45}"/>
  </cellStyles>
  <dxfs count="34">
    <dxf>
      <font>
        <color rgb="FF9C0006"/>
      </font>
      <fill>
        <patternFill>
          <bgColor rgb="FFFFC7CE"/>
        </patternFill>
      </fill>
    </dxf>
    <dxf>
      <font>
        <color rgb="FF1B4066"/>
      </font>
      <fill>
        <patternFill>
          <bgColor rgb="FFEEEEEE"/>
        </patternFill>
      </fill>
      <border>
        <left style="thin">
          <color theme="0"/>
        </left>
        <right style="thin">
          <color theme="0"/>
        </right>
        <top style="thin">
          <color theme="0"/>
        </top>
        <bottom style="thin">
          <color theme="0"/>
        </bottom>
        <vertical/>
        <horizontal/>
      </border>
    </dxf>
    <dxf>
      <font>
        <color rgb="FF1B4066"/>
      </font>
      <fill>
        <patternFill>
          <bgColor rgb="FFEEEEEE"/>
        </patternFill>
      </fill>
      <border>
        <left style="thin">
          <color rgb="FF1B4066"/>
        </left>
        <right style="thin">
          <color rgb="FF1B4066"/>
        </right>
        <top style="thin">
          <color rgb="FF1B4066"/>
        </top>
        <bottom style="thin">
          <color rgb="FF1B4066"/>
        </bottom>
        <vertical/>
        <horizontal/>
      </border>
    </dxf>
    <dxf>
      <font>
        <b/>
        <i val="0"/>
        <color rgb="FF1B4066"/>
      </font>
    </dxf>
    <dxf>
      <font>
        <color rgb="FF006100"/>
      </font>
      <fill>
        <patternFill>
          <bgColor rgb="FFC6EFCE"/>
        </patternFill>
      </fill>
    </dxf>
    <dxf>
      <font>
        <color rgb="FF9C0006"/>
      </font>
      <fill>
        <patternFill>
          <bgColor rgb="FFFFC7CE"/>
        </patternFill>
      </fill>
    </dxf>
    <dxf>
      <fill>
        <patternFill>
          <bgColor rgb="FFEFB810"/>
        </patternFill>
      </fill>
    </dxf>
    <dxf>
      <fill>
        <patternFill>
          <bgColor rgb="FFC0C0C0"/>
        </patternFill>
      </fill>
    </dxf>
    <dxf>
      <fill>
        <patternFill>
          <bgColor rgb="FFCD7F32"/>
        </patternFill>
      </fill>
    </dxf>
    <dxf>
      <fill>
        <patternFill>
          <bgColor theme="7" tint="0.79998168889431442"/>
        </patternFill>
      </fill>
    </dxf>
    <dxf>
      <fill>
        <patternFill>
          <bgColor theme="6" tint="0.79998168889431442"/>
        </patternFill>
      </fill>
    </dxf>
    <dxf>
      <fill>
        <patternFill>
          <bgColor theme="4" tint="0.79998168889431442"/>
        </patternFill>
      </fill>
    </dxf>
    <dxf>
      <fill>
        <patternFill>
          <bgColor theme="9" tint="0.79998168889431442"/>
        </patternFill>
      </fill>
    </dxf>
    <dxf>
      <font>
        <color rgb="FF9C0006"/>
      </font>
      <fill>
        <patternFill>
          <bgColor rgb="FFFFC7CE"/>
        </patternFill>
      </fill>
    </dxf>
    <dxf>
      <fill>
        <patternFill>
          <bgColor rgb="FFBFBFBF"/>
        </patternFill>
      </fill>
    </dxf>
    <dxf>
      <font>
        <color rgb="FFEEEEEE"/>
      </font>
      <fill>
        <patternFill>
          <bgColor rgb="FFEEEEEE"/>
        </patternFill>
      </fill>
      <border>
        <left/>
        <right/>
        <top/>
        <bottom/>
        <vertical/>
        <horizontal/>
      </border>
    </dxf>
    <dxf>
      <font>
        <color rgb="FF1B4066"/>
      </font>
      <fill>
        <patternFill>
          <bgColor theme="0" tint="-0.24994659260841701"/>
        </patternFill>
      </fill>
      <border>
        <left style="thin">
          <color theme="0"/>
        </left>
        <right style="thin">
          <color theme="0"/>
        </right>
        <top style="thin">
          <color theme="0"/>
        </top>
        <bottom style="thin">
          <color theme="0"/>
        </bottom>
      </border>
    </dxf>
    <dxf>
      <font>
        <color rgb="FF1B4066"/>
      </font>
      <fill>
        <patternFill>
          <bgColor theme="0" tint="-0.24994659260841701"/>
        </patternFill>
      </fill>
      <border>
        <left style="thin">
          <color theme="0"/>
        </left>
        <right style="thin">
          <color theme="0"/>
        </right>
        <top style="thin">
          <color theme="0"/>
        </top>
        <bottom style="thin">
          <color theme="0"/>
        </bottom>
      </border>
    </dxf>
    <dxf>
      <font>
        <color rgb="FF1B4066"/>
      </font>
    </dxf>
    <dxf>
      <font>
        <color rgb="FF1B4066"/>
      </font>
    </dxf>
    <dxf>
      <numFmt numFmtId="2" formatCode="0.00"/>
    </dxf>
    <dxf>
      <font>
        <b val="0"/>
        <i val="0"/>
        <color rgb="FF1B4066"/>
      </font>
      <fill>
        <patternFill>
          <bgColor rgb="FFBFBFBF"/>
        </patternFill>
      </fill>
      <border>
        <left style="thin">
          <color theme="0"/>
        </left>
        <right style="thin">
          <color theme="0"/>
        </right>
        <top style="thin">
          <color theme="0"/>
        </top>
        <bottom style="thin">
          <color theme="0"/>
        </bottom>
      </border>
    </dxf>
    <dxf>
      <font>
        <b/>
        <i val="0"/>
        <color rgb="FF1B4066"/>
      </font>
    </dxf>
    <dxf>
      <fill>
        <patternFill>
          <bgColor rgb="FFC4D79B"/>
        </patternFill>
      </fill>
    </dxf>
    <dxf>
      <font>
        <b val="0"/>
        <i val="0"/>
        <color rgb="FF1B4066"/>
      </font>
      <fill>
        <patternFill patternType="solid">
          <fgColor indexed="64"/>
          <bgColor theme="0" tint="-0.24994659260841701"/>
        </patternFill>
      </fill>
    </dxf>
    <dxf>
      <font>
        <b val="0"/>
        <i val="0"/>
        <color rgb="FF1B4066"/>
      </font>
      <fill>
        <patternFill>
          <bgColor theme="0" tint="-0.24994659260841701"/>
        </patternFill>
      </fill>
      <border>
        <vertical/>
        <horizontal/>
      </border>
    </dxf>
    <dxf>
      <fill>
        <patternFill>
          <bgColor theme="0" tint="-0.14996795556505021"/>
        </patternFill>
      </fill>
      <border>
        <left style="thin">
          <color theme="0" tint="-4.9989318521683403E-2"/>
        </left>
        <right style="thin">
          <color theme="0" tint="-4.9989318521683403E-2"/>
        </right>
        <top style="thin">
          <color theme="0" tint="-4.9989318521683403E-2"/>
        </top>
        <bottom style="thin">
          <color theme="0" tint="-4.9989318521683403E-2"/>
        </bottom>
      </border>
    </dxf>
    <dxf>
      <font>
        <color rgb="FF1B4066"/>
      </font>
      <fill>
        <patternFill patternType="solid">
          <fgColor indexed="64"/>
          <bgColor theme="0" tint="-0.24994659260841701"/>
        </patternFill>
      </fill>
      <border>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bottom" textRotation="0" wrapText="0" indent="0" justifyLastLine="0" shrinkToFit="0" readingOrder="0"/>
      <protection locked="1" hidden="1"/>
    </dxf>
    <dxf>
      <font>
        <b val="0"/>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bottom" textRotation="0" wrapText="0" indent="0" justifyLastLine="0" shrinkToFit="0" readingOrder="0"/>
      <protection locked="1" hidden="1"/>
    </dxf>
    <dxf>
      <font>
        <b val="0"/>
        <i val="0"/>
        <strike val="0"/>
        <condense val="0"/>
        <extend val="0"/>
        <outline val="0"/>
        <shadow val="0"/>
        <u val="none"/>
        <vertAlign val="baseline"/>
        <sz val="11"/>
        <color theme="0"/>
        <name val="Calibri"/>
        <family val="2"/>
        <scheme val="minor"/>
      </font>
      <numFmt numFmtId="0" formatCode="General"/>
      <fill>
        <patternFill patternType="none">
          <fgColor indexed="64"/>
          <bgColor auto="1"/>
        </patternFill>
      </fill>
      <alignment horizontal="general" vertical="bottom" textRotation="0" wrapText="0" indent="0" justifyLastLine="0" shrinkToFit="0" readingOrder="0"/>
      <protection locked="1" hidden="1"/>
    </dxf>
    <dxf>
      <font>
        <b val="0"/>
        <i val="0"/>
        <strike val="0"/>
        <condense val="0"/>
        <extend val="0"/>
        <outline val="0"/>
        <shadow val="0"/>
        <u val="none"/>
        <vertAlign val="baseline"/>
        <sz val="11"/>
        <color theme="0"/>
        <name val="Calibri"/>
        <family val="2"/>
        <scheme val="minor"/>
      </font>
      <numFmt numFmtId="0" formatCode="General"/>
      <fill>
        <patternFill patternType="none">
          <fgColor indexed="64"/>
          <bgColor auto="1"/>
        </patternFill>
      </fill>
      <alignment horizontal="general" vertical="bottom" textRotation="0" wrapText="0" indent="0" justifyLastLine="0" shrinkToFit="0" readingOrder="0"/>
      <protection locked="1" hidden="1"/>
    </dxf>
    <dxf>
      <font>
        <b val="0"/>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bottom" textRotation="0" wrapText="0" indent="0" justifyLastLine="0" shrinkToFit="0" readingOrder="0"/>
      <protection locked="1" hidden="1"/>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bottom" textRotation="0" wrapText="0" indent="0" justifyLastLine="0" shrinkToFit="0" readingOrder="0"/>
      <protection locked="1" hidden="1"/>
    </dxf>
  </dxfs>
  <tableStyles count="0" defaultTableStyle="TableStyleMedium9" defaultPivotStyle="PivotStyleLight16"/>
  <colors>
    <mruColors>
      <color rgb="FF1B4066"/>
      <color rgb="FFEEEEEE"/>
      <color rgb="FFBFBFBF"/>
      <color rgb="FF65BBB0"/>
      <color rgb="FFEE7701"/>
      <color rgb="FF07BC56"/>
      <color rgb="FFFF8800"/>
      <color rgb="FFF27C0F"/>
      <color rgb="FF860020"/>
      <color rgb="FFEA3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1" Type="http://schemas.openxmlformats.org/officeDocument/2006/relationships/image" Target="../media/image52.png"/></Relationships>
</file>

<file path=xl/drawings/drawing1.xml><?xml version="1.0" encoding="utf-8"?>
<xdr:wsDr xmlns:xdr="http://schemas.openxmlformats.org/drawingml/2006/spreadsheetDrawing" xmlns:a="http://schemas.openxmlformats.org/drawingml/2006/main">
  <xdr:twoCellAnchor editAs="oneCell">
    <xdr:from>
      <xdr:col>5</xdr:col>
      <xdr:colOff>584200</xdr:colOff>
      <xdr:row>4</xdr:row>
      <xdr:rowOff>0</xdr:rowOff>
    </xdr:from>
    <xdr:to>
      <xdr:col>7</xdr:col>
      <xdr:colOff>63500</xdr:colOff>
      <xdr:row>13</xdr:row>
      <xdr:rowOff>139700</xdr:rowOff>
    </xdr:to>
    <xdr:pic>
      <xdr:nvPicPr>
        <xdr:cNvPr id="20" name="Imagen 19">
          <a:extLst>
            <a:ext uri="{FF2B5EF4-FFF2-40B4-BE49-F238E27FC236}">
              <a16:creationId xmlns:a16="http://schemas.microsoft.com/office/drawing/2014/main" id="{619AAB64-A02A-874A-8E90-EC27C526D26C}"/>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val="0"/>
            </a:ext>
          </a:extLst>
        </a:blip>
        <a:srcRect/>
        <a:stretch/>
      </xdr:blipFill>
      <xdr:spPr>
        <a:xfrm>
          <a:off x="5321300" y="990600"/>
          <a:ext cx="1206500" cy="2628900"/>
        </a:xfrm>
        <a:prstGeom prst="rect">
          <a:avLst/>
        </a:prstGeom>
      </xdr:spPr>
    </xdr:pic>
    <xdr:clientData/>
  </xdr:twoCellAnchor>
</xdr:wsDr>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2">
  <rv s="0">
    <v>0</v>
    <v>5</v>
  </rv>
  <rv s="0">
    <v>1</v>
    <v>6</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0</v>
    <v>4</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1">
    <v>45</v>
    <v>5</v>
    <v>Bandera de República Democrática del Congo</v>
  </rv>
  <rv s="1">
    <v>46</v>
    <v>5</v>
    <v>Bandera de Irak</v>
  </rv>
  <rv s="0">
    <v>47</v>
    <v>5</v>
  </rv>
  <rv s="0">
    <v>48</v>
    <v>5</v>
  </rv>
  <rv s="0">
    <v>49</v>
    <v>5</v>
  </rv>
  <rv s="0">
    <v>50</v>
    <v>5</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B000000}" name="T_Equipos" displayName="T_Equipos" ref="A1:D49" totalsRowShown="0" headerRowDxfId="33" dataDxfId="32">
  <sortState xmlns:xlrd2="http://schemas.microsoft.com/office/spreadsheetml/2017/richdata2" ref="A2:D13">
    <sortCondition ref="D2:D13"/>
  </sortState>
  <tableColumns count="4">
    <tableColumn id="1" xr3:uid="{00000000-0010-0000-0B00-000001000000}" name="Num" dataDxfId="31">
      <calculatedColumnFormula>NOT(ISERROR(VLOOKUP(Equipos!$B2,#REF!,1,FALSE)))</calculatedColumnFormula>
    </tableColumn>
    <tableColumn id="2" xr3:uid="{00000000-0010-0000-0B00-000002000000}" name="NombreEquipo" dataDxfId="30">
      <calculatedColumnFormula>+INDEX(Idiomas!$D$202:$D$249,MATCH(T_Equipos[[#This Row],[Num]],Idiomas!$C$202:$C$249,0))</calculatedColumnFormula>
    </tableColumn>
    <tableColumn id="4" xr3:uid="{00000000-0010-0000-0B00-000004000000}" name="Grupo" dataDxfId="29"/>
    <tableColumn id="3" xr3:uid="{00000000-0010-0000-0B00-000003000000}" name="Rank" dataDxfId="28"/>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a.me/?text=Te%20env%C3%ADo%20el%20Excel%20del%20Mundial%202026%20para%20descargarlo%3A%20https%3A%2F%2Fmatejero.es%2Fexcel-porra-mundial%2F" TargetMode="External"/><Relationship Id="rId7" Type="http://schemas.openxmlformats.org/officeDocument/2006/relationships/hyperlink" Target="https://youtu.be/Vh--XEkQDFg" TargetMode="External"/><Relationship Id="rId2" Type="http://schemas.openxmlformats.org/officeDocument/2006/relationships/hyperlink" Target="https://twitter.com/intent/tweet?text=Acabo%20de%20descargar%20el%20Excel%20del%20Mundial%202026.%20https%3A%2F%2Fmatejero.es%2Fexcel-porra-mundial%2F" TargetMode="External"/><Relationship Id="rId1" Type="http://schemas.openxmlformats.org/officeDocument/2006/relationships/hyperlink" Target="https://t.me/share/url?url=https%3A%2F%2Fmatejero.es%2Fexcel-porra-mundial%2F&amp;text=Te%20env%C3%ADo%20el%20Excel%20del%20Mundial%202026%20para%20descargarlo" TargetMode="External"/><Relationship Id="rId6" Type="http://schemas.openxmlformats.org/officeDocument/2006/relationships/hyperlink" Target="https://www.paypal.com/donate?business=PJ2B6ZBH7ZHR4&amp;currency_code=EUR" TargetMode="External"/><Relationship Id="rId5" Type="http://schemas.openxmlformats.org/officeDocument/2006/relationships/hyperlink" Target="mailto:?subject=Excel%20Mundial%202026&amp;body=Te%20env%C3%ADo%20el%20Excel%20del%20Mundial%202026%20para%20descargarlo%3A%20https%3A%2F%2Fmatejero.es%2Fexcel-porra-mundial%2F" TargetMode="External"/><Relationship Id="rId4" Type="http://schemas.openxmlformats.org/officeDocument/2006/relationships/hyperlink" Target="https://www.linkedin.com/sharing/share-offsite/?url=https%3A%2F%2Fmatejero.es%2Fexcel-porra-mundial%2F"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youtu.be/Vh--XEkQDFg" TargetMode="External"/><Relationship Id="rId2" Type="http://schemas.openxmlformats.org/officeDocument/2006/relationships/hyperlink" Target="https://www.paypal.com/donate?business=PJ2B6ZBH7ZHR4&amp;currency_code=EUR" TargetMode="External"/><Relationship Id="rId1" Type="http://schemas.openxmlformats.org/officeDocument/2006/relationships/hyperlink" Target="https://www.linkedin.com/in/matejero" TargetMode="External"/><Relationship Id="rId4"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8" Type="http://schemas.openxmlformats.org/officeDocument/2006/relationships/hyperlink" Target="https://matejero.com/excel-champions-league/" TargetMode="External"/><Relationship Id="rId3" Type="http://schemas.openxmlformats.org/officeDocument/2006/relationships/hyperlink" Target="https://matejero.es/calendario-excel-liga/" TargetMode="External"/><Relationship Id="rId7" Type="http://schemas.openxmlformats.org/officeDocument/2006/relationships/hyperlink" Target="https://matejero.es/download/administrador-excel-mundial-2026/" TargetMode="External"/><Relationship Id="rId12" Type="http://schemas.openxmlformats.org/officeDocument/2006/relationships/hyperlink" Target="https://youtu.be/Vh--XEkQDFg" TargetMode="External"/><Relationship Id="rId2" Type="http://schemas.openxmlformats.org/officeDocument/2006/relationships/hyperlink" Target="https://matejero.es/calendario-excel-liga/" TargetMode="External"/><Relationship Id="rId1" Type="http://schemas.openxmlformats.org/officeDocument/2006/relationships/hyperlink" Target="https://www.linkedin.com/in/matejero" TargetMode="External"/><Relationship Id="rId6" Type="http://schemas.openxmlformats.org/officeDocument/2006/relationships/hyperlink" Target="https://matejero.com/download/admin-world-cup-2026/" TargetMode="External"/><Relationship Id="rId11" Type="http://schemas.openxmlformats.org/officeDocument/2006/relationships/hyperlink" Target="https://www.matejero.com/" TargetMode="External"/><Relationship Id="rId5" Type="http://schemas.openxmlformats.org/officeDocument/2006/relationships/hyperlink" Target="https://matejero.es/excel-copa-libertadores/" TargetMode="External"/><Relationship Id="rId10" Type="http://schemas.openxmlformats.org/officeDocument/2006/relationships/hyperlink" Target="https://www.matejero.es/" TargetMode="External"/><Relationship Id="rId4" Type="http://schemas.openxmlformats.org/officeDocument/2006/relationships/hyperlink" Target="https://matejero.com/premier-league-excel-schedule/" TargetMode="External"/><Relationship Id="rId9" Type="http://schemas.openxmlformats.org/officeDocument/2006/relationships/hyperlink" Target="https://matejero.es/excel-champions-league/"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E64"/>
  <sheetViews>
    <sheetView showGridLines="0" showRowColHeaders="0" tabSelected="1" zoomScaleNormal="100" workbookViewId="0">
      <selection activeCell="C8" sqref="C8"/>
      <extLst>
        <ext xmlns:xlsdti="http://schemas.microsoft.com/office/spreadsheetml/2023/showDataTypeIcons" uri="{77bfe23e-c014-4d31-8a63-9c772dbf06b6}">
          <xlsdti:showDataTypeIcons visible="0"/>
        </ext>
      </extLst>
    </sheetView>
  </sheetViews>
  <sheetFormatPr baseColWidth="10" defaultColWidth="0" defaultRowHeight="15" x14ac:dyDescent="0.2"/>
  <cols>
    <col min="1" max="1" width="3.83203125" style="299" customWidth="1"/>
    <col min="2" max="2" width="15.83203125" style="299" customWidth="1"/>
    <col min="3" max="3" width="26.83203125" style="299" customWidth="1"/>
    <col min="4" max="4" width="5.83203125" style="299" customWidth="1"/>
    <col min="5" max="9" width="11.33203125" style="319" customWidth="1"/>
    <col min="10" max="10" width="5.83203125" style="319" customWidth="1"/>
    <col min="11" max="11" width="26.83203125" style="319" customWidth="1"/>
    <col min="12" max="12" width="15.83203125" style="299" customWidth="1"/>
    <col min="13" max="13" width="10.5" style="299" customWidth="1"/>
    <col min="14" max="15" width="10.83203125" style="299" customWidth="1"/>
    <col min="16" max="16" width="12.1640625" style="299" customWidth="1"/>
    <col min="17" max="17" width="6.1640625" style="299" customWidth="1"/>
    <col min="18" max="31" width="10.83203125" style="299" customWidth="1"/>
    <col min="32" max="16384" width="10.83203125" hidden="1"/>
  </cols>
  <sheetData>
    <row r="1" spans="1:31" x14ac:dyDescent="0.2">
      <c r="A1" s="298"/>
      <c r="B1" s="298"/>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row>
    <row r="2" spans="1:31" x14ac:dyDescent="0.2">
      <c r="A2" s="298"/>
      <c r="B2" s="298"/>
      <c r="C2" s="300"/>
      <c r="D2" s="298"/>
      <c r="E2" s="301"/>
      <c r="F2" s="301"/>
      <c r="G2" s="301"/>
      <c r="H2" s="301"/>
      <c r="I2" s="301"/>
      <c r="J2" s="301"/>
      <c r="K2" s="301"/>
      <c r="L2" s="298"/>
      <c r="M2" s="298"/>
      <c r="N2" s="298"/>
      <c r="O2" s="298"/>
      <c r="P2" s="298"/>
      <c r="Q2" s="298"/>
      <c r="R2" s="298"/>
      <c r="S2" s="298"/>
      <c r="T2" s="298"/>
      <c r="U2" s="298"/>
      <c r="V2" s="298"/>
      <c r="W2" s="298"/>
      <c r="X2" s="298"/>
      <c r="Y2" s="298"/>
      <c r="Z2" s="298"/>
      <c r="AA2" s="298"/>
      <c r="AB2" s="298"/>
      <c r="AC2" s="298"/>
      <c r="AD2" s="298"/>
      <c r="AE2" s="298"/>
    </row>
    <row r="3" spans="1:31" ht="35" customHeight="1" x14ac:dyDescent="0.2">
      <c r="A3" s="298"/>
      <c r="B3" s="635" t="str">
        <f>Idiomas!D8</f>
        <v>XXIII World Cup USA/MEX/CAN 2026</v>
      </c>
      <c r="C3" s="635"/>
      <c r="D3" s="635"/>
      <c r="E3" s="635"/>
      <c r="F3" s="635"/>
      <c r="G3" s="635"/>
      <c r="H3" s="635"/>
      <c r="I3" s="635"/>
      <c r="J3" s="635"/>
      <c r="K3" s="635"/>
      <c r="L3" s="635"/>
      <c r="M3" s="298"/>
      <c r="N3" s="298"/>
      <c r="O3" s="298"/>
      <c r="P3" s="298"/>
      <c r="Q3" s="298"/>
      <c r="R3" s="298"/>
      <c r="S3" s="298"/>
      <c r="T3" s="298"/>
      <c r="U3" s="298"/>
      <c r="V3" s="298"/>
      <c r="W3" s="298"/>
      <c r="X3" s="298"/>
      <c r="Y3" s="298"/>
      <c r="Z3" s="298"/>
      <c r="AA3" s="298"/>
      <c r="AB3" s="298"/>
      <c r="AC3" s="298"/>
      <c r="AD3" s="298"/>
      <c r="AE3" s="298"/>
    </row>
    <row r="4" spans="1:31" ht="15" customHeight="1" x14ac:dyDescent="0.2">
      <c r="A4" s="298"/>
      <c r="B4" s="298"/>
      <c r="C4" s="298"/>
      <c r="D4" s="298"/>
      <c r="E4" s="301"/>
      <c r="F4" s="301"/>
      <c r="G4" s="301"/>
      <c r="H4" s="301"/>
      <c r="I4" s="301"/>
      <c r="J4" s="301"/>
      <c r="K4" s="301"/>
      <c r="L4" s="302"/>
      <c r="M4" s="298"/>
      <c r="N4" s="298"/>
      <c r="O4" s="298"/>
      <c r="P4" s="298"/>
      <c r="Q4" s="298"/>
      <c r="R4" s="298"/>
      <c r="S4" s="298"/>
      <c r="T4" s="298"/>
      <c r="U4" s="298"/>
      <c r="V4" s="298"/>
      <c r="W4" s="298"/>
      <c r="X4" s="298"/>
      <c r="Y4" s="298"/>
      <c r="Z4" s="298"/>
      <c r="AA4" s="298"/>
      <c r="AB4" s="298"/>
      <c r="AC4" s="298"/>
      <c r="AD4" s="298"/>
      <c r="AE4" s="298"/>
    </row>
    <row r="5" spans="1:31" ht="20" customHeight="1" thickBot="1" x14ac:dyDescent="0.25">
      <c r="A5" s="298"/>
      <c r="B5" s="298"/>
      <c r="C5" s="303" t="str">
        <f>"📋 "&amp;Idiomas!D7</f>
        <v>📋 Select languaje</v>
      </c>
      <c r="D5" s="298"/>
      <c r="E5" s="304"/>
      <c r="F5" s="304"/>
      <c r="G5" s="304"/>
      <c r="H5" s="304"/>
      <c r="I5" s="304"/>
      <c r="J5" s="304"/>
      <c r="K5" s="304"/>
      <c r="L5" s="305"/>
      <c r="M5" s="306"/>
      <c r="N5" s="306"/>
      <c r="O5" s="306"/>
      <c r="P5" s="298"/>
      <c r="Q5" s="298"/>
      <c r="R5" s="298"/>
      <c r="S5" s="298"/>
      <c r="T5" s="298"/>
      <c r="U5" s="298"/>
      <c r="V5" s="298"/>
      <c r="W5" s="298"/>
      <c r="X5" s="298"/>
      <c r="Y5" s="298"/>
      <c r="Z5" s="298"/>
      <c r="AA5" s="298"/>
      <c r="AB5" s="298"/>
      <c r="AC5" s="298"/>
      <c r="AD5" s="298"/>
      <c r="AE5" s="298"/>
    </row>
    <row r="6" spans="1:31" ht="25" customHeight="1" thickBot="1" x14ac:dyDescent="0.25">
      <c r="A6" s="298"/>
      <c r="B6" s="19"/>
      <c r="C6" s="289" t="s">
        <v>359</v>
      </c>
      <c r="D6" s="298"/>
      <c r="E6" s="301"/>
      <c r="F6" s="301"/>
      <c r="G6" s="301"/>
      <c r="H6" s="301"/>
      <c r="I6" s="301"/>
      <c r="J6" s="301"/>
      <c r="K6" s="307" t="str">
        <f>Idiomas!D4</f>
        <v>Introduce Results</v>
      </c>
      <c r="L6" s="298"/>
      <c r="M6" s="298"/>
      <c r="N6" s="298"/>
      <c r="O6" s="298"/>
      <c r="P6" s="298"/>
      <c r="Q6" s="298"/>
      <c r="R6" s="298"/>
      <c r="S6" s="298"/>
      <c r="T6" s="298"/>
      <c r="U6" s="298"/>
      <c r="V6" s="298"/>
      <c r="W6" s="298"/>
      <c r="X6" s="298"/>
      <c r="Y6" s="298"/>
      <c r="Z6" s="298"/>
      <c r="AA6" s="298"/>
      <c r="AB6" s="298"/>
      <c r="AC6" s="298"/>
      <c r="AD6" s="298"/>
      <c r="AE6" s="298"/>
    </row>
    <row r="7" spans="1:31" ht="20" customHeight="1" thickBot="1" x14ac:dyDescent="0.25">
      <c r="A7" s="298"/>
      <c r="B7" s="308"/>
      <c r="C7" s="303" t="str">
        <f>"🕒 "&amp;Idiomas!D15</f>
        <v>🕒 Select timetable</v>
      </c>
      <c r="D7" s="298"/>
      <c r="E7" s="301"/>
      <c r="F7" s="301"/>
      <c r="G7" s="301"/>
      <c r="H7" s="301"/>
      <c r="I7" s="301"/>
      <c r="J7" s="301"/>
      <c r="K7" s="301"/>
      <c r="L7" s="298"/>
      <c r="M7" s="298"/>
      <c r="N7" s="298"/>
      <c r="O7" s="298"/>
      <c r="P7" s="298"/>
      <c r="Q7" s="298"/>
      <c r="R7" s="298"/>
      <c r="S7" s="298"/>
      <c r="T7" s="298"/>
      <c r="U7" s="298"/>
      <c r="V7" s="298"/>
      <c r="W7" s="298"/>
      <c r="X7" s="298"/>
      <c r="Y7" s="298"/>
      <c r="Z7" s="298"/>
      <c r="AA7" s="298"/>
      <c r="AB7" s="298"/>
      <c r="AC7" s="298"/>
      <c r="AD7" s="298"/>
      <c r="AE7" s="298"/>
    </row>
    <row r="8" spans="1:31" ht="25" customHeight="1" thickBot="1" x14ac:dyDescent="0.25">
      <c r="A8" s="298"/>
      <c r="B8" s="19"/>
      <c r="C8" s="289" t="s">
        <v>508</v>
      </c>
      <c r="D8" s="298"/>
      <c r="E8" s="301"/>
      <c r="F8" s="301"/>
      <c r="G8" s="301"/>
      <c r="H8" s="301"/>
      <c r="I8" s="301"/>
      <c r="J8" s="301"/>
      <c r="K8" s="307" t="s">
        <v>1312</v>
      </c>
      <c r="L8" s="298"/>
      <c r="M8" s="298"/>
      <c r="N8" s="298"/>
      <c r="O8" s="298"/>
      <c r="P8" s="298"/>
      <c r="Q8" s="298"/>
      <c r="R8" s="298"/>
      <c r="S8" s="298"/>
      <c r="T8" s="298"/>
      <c r="U8" s="298"/>
      <c r="V8" s="298"/>
      <c r="W8" s="298"/>
      <c r="X8" s="298"/>
      <c r="Y8" s="298"/>
      <c r="Z8" s="298"/>
      <c r="AA8" s="298"/>
      <c r="AB8" s="298"/>
      <c r="AC8" s="298"/>
      <c r="AD8" s="298"/>
      <c r="AE8" s="298"/>
    </row>
    <row r="9" spans="1:31" ht="20" customHeight="1" thickBot="1" x14ac:dyDescent="0.25">
      <c r="A9" s="298"/>
      <c r="B9" s="308"/>
      <c r="C9" s="303" t="str">
        <f>"✍️ "&amp;Idiomas!D46</f>
        <v>✍️ Write your name</v>
      </c>
      <c r="D9" s="298"/>
      <c r="E9" s="301"/>
      <c r="F9" s="301"/>
      <c r="G9" s="301"/>
      <c r="H9" s="301"/>
      <c r="I9" s="301"/>
      <c r="J9" s="301"/>
      <c r="K9" s="301"/>
      <c r="L9" s="298"/>
      <c r="M9" s="298"/>
      <c r="N9" s="298"/>
      <c r="O9" s="298"/>
      <c r="P9" s="298"/>
      <c r="Q9" s="298"/>
      <c r="R9" s="298"/>
      <c r="S9" s="298"/>
      <c r="T9" s="298"/>
      <c r="U9" s="298"/>
      <c r="V9" s="298"/>
      <c r="W9" s="298"/>
      <c r="X9" s="298"/>
      <c r="Y9" s="298"/>
      <c r="Z9" s="298"/>
      <c r="AA9" s="298"/>
      <c r="AB9" s="298"/>
      <c r="AC9" s="298"/>
      <c r="AD9" s="298"/>
      <c r="AE9" s="298"/>
    </row>
    <row r="10" spans="1:31" ht="25" customHeight="1" thickBot="1" x14ac:dyDescent="0.25">
      <c r="A10" s="298"/>
      <c r="B10" s="19"/>
      <c r="C10" s="289" t="str">
        <f>Idiomas!D45</f>
        <v>Name</v>
      </c>
      <c r="D10" s="298"/>
      <c r="E10" s="301"/>
      <c r="F10" s="301"/>
      <c r="G10" s="301"/>
      <c r="H10" s="301"/>
      <c r="I10" s="301"/>
      <c r="J10" s="301"/>
      <c r="K10" s="307" t="s">
        <v>1323</v>
      </c>
      <c r="L10" s="298"/>
      <c r="M10" s="298"/>
      <c r="N10" s="298"/>
      <c r="O10" s="298"/>
      <c r="P10" s="298"/>
      <c r="Q10" s="298"/>
      <c r="R10" s="298"/>
      <c r="S10" s="298"/>
      <c r="T10" s="298"/>
      <c r="U10" s="298"/>
      <c r="V10" s="298"/>
      <c r="W10" s="298"/>
      <c r="X10" s="298"/>
      <c r="Y10" s="298"/>
      <c r="Z10" s="298"/>
      <c r="AA10" s="298"/>
      <c r="AB10" s="298"/>
      <c r="AC10" s="298"/>
      <c r="AD10" s="298"/>
      <c r="AE10" s="298"/>
    </row>
    <row r="11" spans="1:31" ht="20" customHeight="1" x14ac:dyDescent="0.2">
      <c r="A11" s="298"/>
      <c r="B11" s="298"/>
      <c r="C11" s="298"/>
      <c r="D11" s="298"/>
      <c r="E11" s="301"/>
      <c r="F11" s="301"/>
      <c r="G11" s="301"/>
      <c r="H11" s="301"/>
      <c r="I11" s="301"/>
      <c r="J11" s="301"/>
      <c r="K11" s="301"/>
      <c r="L11" s="298"/>
      <c r="M11" s="298"/>
      <c r="N11" s="298"/>
      <c r="O11" s="298"/>
      <c r="P11" s="298"/>
      <c r="Q11" s="298"/>
      <c r="R11" s="298"/>
      <c r="S11" s="298"/>
      <c r="T11" s="298"/>
      <c r="U11" s="298"/>
      <c r="V11" s="298"/>
      <c r="W11" s="298"/>
      <c r="X11" s="298"/>
      <c r="Y11" s="298"/>
      <c r="Z11" s="298"/>
      <c r="AA11" s="298"/>
      <c r="AB11" s="298"/>
      <c r="AC11" s="298"/>
      <c r="AD11" s="298"/>
      <c r="AE11" s="298"/>
    </row>
    <row r="12" spans="1:31" ht="25" customHeight="1" x14ac:dyDescent="0.2">
      <c r="A12" s="298"/>
      <c r="B12" s="298"/>
      <c r="C12" s="298"/>
      <c r="D12" s="298"/>
      <c r="E12" s="301"/>
      <c r="F12" s="301"/>
      <c r="G12" s="301"/>
      <c r="H12" s="301"/>
      <c r="I12" s="301"/>
      <c r="J12" s="301"/>
      <c r="K12" s="301"/>
      <c r="L12" s="309"/>
      <c r="M12" s="298"/>
      <c r="N12" s="298"/>
      <c r="O12" s="298"/>
      <c r="P12" s="298"/>
      <c r="Q12" s="298"/>
      <c r="R12" s="298"/>
      <c r="S12" s="298"/>
      <c r="T12" s="298"/>
      <c r="U12" s="298"/>
      <c r="V12" s="298"/>
      <c r="W12" s="298"/>
      <c r="X12" s="298"/>
      <c r="Y12" s="298"/>
      <c r="Z12" s="298"/>
      <c r="AA12" s="298"/>
      <c r="AB12" s="298"/>
      <c r="AC12" s="298"/>
      <c r="AD12" s="298"/>
      <c r="AE12" s="298"/>
    </row>
    <row r="13" spans="1:31" ht="16" customHeight="1" x14ac:dyDescent="0.2">
      <c r="A13" s="298"/>
      <c r="B13" s="298"/>
      <c r="C13" s="278"/>
      <c r="D13" s="298"/>
      <c r="E13" s="301"/>
      <c r="F13" s="301"/>
      <c r="G13" s="301"/>
      <c r="H13" s="301"/>
      <c r="I13" s="301"/>
      <c r="J13" s="301"/>
      <c r="K13" s="301"/>
      <c r="L13" s="298"/>
      <c r="M13" s="298"/>
      <c r="N13" s="298"/>
      <c r="O13" s="298"/>
      <c r="P13" s="298"/>
      <c r="Q13" s="298"/>
      <c r="R13" s="298"/>
      <c r="S13" s="298"/>
      <c r="T13" s="298"/>
      <c r="U13" s="298"/>
      <c r="V13" s="298"/>
      <c r="W13" s="298"/>
      <c r="X13" s="298"/>
      <c r="Y13" s="298"/>
      <c r="Z13" s="298"/>
      <c r="AA13" s="298"/>
      <c r="AB13" s="298"/>
      <c r="AC13" s="298"/>
      <c r="AD13" s="298"/>
      <c r="AE13" s="298"/>
    </row>
    <row r="14" spans="1:31" ht="15" customHeight="1" x14ac:dyDescent="0.2">
      <c r="A14" s="298"/>
      <c r="B14" s="18"/>
      <c r="C14" s="18"/>
      <c r="D14" s="298"/>
      <c r="E14" s="301"/>
      <c r="F14" s="301"/>
      <c r="G14" s="301"/>
      <c r="H14" s="301"/>
      <c r="I14" s="301"/>
      <c r="J14" s="301"/>
      <c r="K14" s="301"/>
      <c r="L14" s="310"/>
      <c r="M14" s="298"/>
      <c r="N14" s="298"/>
      <c r="O14" s="298"/>
      <c r="P14" s="298"/>
      <c r="Q14" s="298"/>
      <c r="R14" s="298"/>
      <c r="S14" s="298"/>
      <c r="T14" s="298"/>
      <c r="U14" s="298"/>
      <c r="V14" s="298"/>
      <c r="W14" s="298"/>
      <c r="X14" s="298"/>
      <c r="Y14" s="298"/>
      <c r="Z14" s="298"/>
      <c r="AA14" s="298"/>
      <c r="AB14" s="298"/>
      <c r="AC14" s="298"/>
      <c r="AD14" s="298"/>
      <c r="AE14" s="298"/>
    </row>
    <row r="15" spans="1:31" ht="15" customHeight="1" x14ac:dyDescent="0.2">
      <c r="A15" s="298"/>
      <c r="B15" s="18"/>
      <c r="C15" s="18"/>
      <c r="D15" s="298"/>
      <c r="E15" s="301"/>
      <c r="F15" s="301"/>
      <c r="G15" s="301"/>
      <c r="H15" s="301"/>
      <c r="I15" s="301"/>
      <c r="J15" s="301"/>
      <c r="K15" s="301"/>
      <c r="L15" s="309"/>
      <c r="M15" s="298"/>
      <c r="N15" s="298"/>
      <c r="O15" s="298"/>
      <c r="P15" s="298"/>
      <c r="Q15" s="298"/>
      <c r="R15" s="298"/>
      <c r="S15" s="298"/>
      <c r="T15" s="298"/>
      <c r="U15" s="298"/>
      <c r="V15" s="298"/>
      <c r="W15" s="298"/>
      <c r="X15" s="298"/>
      <c r="Y15" s="298"/>
      <c r="Z15" s="298"/>
      <c r="AA15" s="298"/>
      <c r="AB15" s="298"/>
      <c r="AC15" s="298"/>
      <c r="AD15" s="298"/>
      <c r="AE15" s="298"/>
    </row>
    <row r="16" spans="1:31" ht="40" customHeight="1" thickBot="1" x14ac:dyDescent="0.25">
      <c r="A16" s="298"/>
      <c r="B16" s="298"/>
      <c r="C16" s="298"/>
      <c r="D16" s="298"/>
      <c r="E16" s="633" t="str">
        <f>HYPERLINK(Idiomas!D10,Idiomas!D5)</f>
        <v>If you want to organize a pool (betting game) with your group, you can download the administrator file from the link below.</v>
      </c>
      <c r="F16" s="634"/>
      <c r="G16" s="634"/>
      <c r="H16" s="634"/>
      <c r="I16" s="634"/>
      <c r="J16" s="301"/>
      <c r="K16" s="311"/>
      <c r="L16" s="298"/>
      <c r="M16" s="298"/>
      <c r="N16" s="298"/>
      <c r="O16" s="298"/>
      <c r="P16" s="298"/>
      <c r="Q16" s="298"/>
      <c r="R16" s="298"/>
      <c r="S16" s="298"/>
      <c r="T16" s="298"/>
      <c r="U16" s="298"/>
      <c r="V16" s="298"/>
      <c r="W16" s="298"/>
      <c r="X16" s="298"/>
      <c r="Y16" s="298"/>
      <c r="Z16" s="298"/>
      <c r="AA16" s="298"/>
      <c r="AB16" s="298"/>
      <c r="AC16" s="298"/>
      <c r="AD16" s="298"/>
      <c r="AE16" s="298"/>
    </row>
    <row r="17" spans="1:31" ht="40" customHeight="1" thickBot="1" x14ac:dyDescent="0.25">
      <c r="A17" s="298"/>
      <c r="B17" s="298"/>
      <c r="C17" s="298"/>
      <c r="D17" s="298"/>
      <c r="E17" s="630" t="str">
        <f>HYPERLINK(Idiomas!D10,Idiomas!D9)</f>
        <v>▼ Download Administrator Excel File ▼</v>
      </c>
      <c r="F17" s="631"/>
      <c r="G17" s="631"/>
      <c r="H17" s="631"/>
      <c r="I17" s="632"/>
      <c r="J17" s="301"/>
      <c r="K17" s="312" t="s">
        <v>1350</v>
      </c>
      <c r="L17" s="313"/>
      <c r="M17" s="298"/>
      <c r="N17" s="314"/>
      <c r="O17" s="315"/>
      <c r="P17" s="298"/>
      <c r="Q17" s="298"/>
      <c r="R17" s="298"/>
      <c r="S17" s="298"/>
      <c r="T17" s="298"/>
      <c r="U17" s="298"/>
      <c r="V17" s="298"/>
      <c r="W17" s="298"/>
      <c r="X17" s="298"/>
      <c r="Y17" s="298"/>
      <c r="Z17" s="298"/>
      <c r="AA17" s="298"/>
      <c r="AB17" s="298"/>
      <c r="AC17" s="298"/>
      <c r="AD17" s="298"/>
      <c r="AE17" s="298"/>
    </row>
    <row r="18" spans="1:31" ht="15" customHeight="1" x14ac:dyDescent="0.2">
      <c r="A18" s="298"/>
      <c r="B18" s="298"/>
      <c r="C18" s="298"/>
      <c r="D18" s="298"/>
      <c r="E18" s="301"/>
      <c r="F18" s="301"/>
      <c r="G18" s="301"/>
      <c r="H18" s="301"/>
      <c r="I18" s="301"/>
      <c r="J18" s="301"/>
      <c r="K18" s="301"/>
      <c r="L18" s="298"/>
      <c r="M18" s="298"/>
      <c r="N18" s="298"/>
      <c r="O18" s="298"/>
      <c r="P18" s="298"/>
      <c r="Q18" s="298"/>
      <c r="R18" s="298"/>
      <c r="S18" s="298"/>
      <c r="T18" s="298"/>
      <c r="U18" s="298"/>
      <c r="V18" s="298"/>
      <c r="W18" s="298"/>
      <c r="X18" s="298"/>
      <c r="Y18" s="298"/>
      <c r="Z18" s="298"/>
      <c r="AA18" s="298"/>
      <c r="AB18" s="298"/>
      <c r="AC18" s="298"/>
      <c r="AD18" s="298"/>
      <c r="AE18" s="298"/>
    </row>
    <row r="19" spans="1:31" x14ac:dyDescent="0.2">
      <c r="A19" s="298"/>
      <c r="B19" s="298"/>
      <c r="C19" s="298"/>
      <c r="D19" s="298"/>
      <c r="E19" s="301"/>
      <c r="F19" s="301"/>
      <c r="G19" s="301"/>
      <c r="H19" s="301"/>
      <c r="I19" s="301"/>
      <c r="J19" s="301"/>
      <c r="K19" s="301"/>
      <c r="L19" s="298"/>
      <c r="M19" s="298"/>
      <c r="N19" s="298"/>
      <c r="O19" s="298"/>
      <c r="P19" s="298"/>
      <c r="Q19" s="298"/>
      <c r="R19" s="298"/>
      <c r="S19" s="298"/>
      <c r="T19" s="298"/>
      <c r="U19" s="298"/>
      <c r="V19" s="298"/>
      <c r="W19" s="298"/>
      <c r="X19" s="298"/>
      <c r="Y19" s="298"/>
      <c r="Z19" s="298"/>
      <c r="AA19" s="298"/>
      <c r="AB19" s="298"/>
      <c r="AC19" s="298"/>
      <c r="AD19" s="298"/>
      <c r="AE19" s="298"/>
    </row>
    <row r="20" spans="1:31" x14ac:dyDescent="0.2">
      <c r="A20" s="298"/>
      <c r="B20" s="298" t="s">
        <v>1311</v>
      </c>
      <c r="C20" s="298"/>
      <c r="D20" s="298"/>
      <c r="E20" s="301"/>
      <c r="F20" s="301"/>
      <c r="G20" s="301"/>
      <c r="H20" s="301"/>
      <c r="I20" s="301"/>
      <c r="J20" s="301"/>
      <c r="K20" s="301"/>
      <c r="L20" s="298"/>
      <c r="M20" s="298"/>
      <c r="N20" s="298"/>
      <c r="O20" s="298"/>
      <c r="P20" s="298"/>
      <c r="Q20" s="298"/>
      <c r="R20" s="298"/>
      <c r="S20" s="298"/>
      <c r="T20" s="298"/>
      <c r="U20" s="298"/>
      <c r="V20" s="298"/>
      <c r="W20" s="298"/>
      <c r="X20" s="298"/>
      <c r="Y20" s="298"/>
      <c r="Z20" s="298"/>
      <c r="AA20" s="298"/>
      <c r="AB20" s="298"/>
      <c r="AC20" s="298"/>
      <c r="AD20" s="298"/>
      <c r="AE20" s="298"/>
    </row>
    <row r="21" spans="1:31" ht="15" customHeight="1" thickBot="1" x14ac:dyDescent="0.25">
      <c r="A21" s="298"/>
      <c r="B21" s="298" t="s">
        <v>1311</v>
      </c>
      <c r="C21" s="298"/>
      <c r="D21" s="298"/>
      <c r="E21" s="316" t="s">
        <v>1347</v>
      </c>
      <c r="F21" s="301"/>
      <c r="G21" s="301"/>
      <c r="H21" s="301"/>
      <c r="I21" s="301"/>
      <c r="J21" s="301"/>
      <c r="K21" s="301"/>
      <c r="L21" s="298"/>
      <c r="M21" s="298"/>
      <c r="N21" s="298"/>
      <c r="O21" s="309"/>
      <c r="P21" s="298"/>
      <c r="Q21" s="298"/>
      <c r="R21" s="298"/>
      <c r="S21" s="298"/>
      <c r="T21" s="298"/>
      <c r="U21" s="298"/>
      <c r="V21" s="298"/>
      <c r="W21" s="298"/>
      <c r="X21" s="298"/>
      <c r="Y21" s="298"/>
      <c r="Z21" s="298"/>
      <c r="AA21" s="298"/>
      <c r="AB21" s="298"/>
      <c r="AC21" s="298"/>
      <c r="AD21" s="298"/>
      <c r="AE21" s="298"/>
    </row>
    <row r="22" spans="1:31" ht="31" customHeight="1" thickBot="1" x14ac:dyDescent="0.25">
      <c r="A22" s="298"/>
      <c r="B22" s="298" t="s">
        <v>1311</v>
      </c>
      <c r="C22" s="298"/>
      <c r="D22" s="298"/>
      <c r="E22" s="20" t="s">
        <v>1307</v>
      </c>
      <c r="F22" s="21" t="s">
        <v>1308</v>
      </c>
      <c r="G22" s="22" t="s">
        <v>1309</v>
      </c>
      <c r="H22" s="23" t="s">
        <v>13</v>
      </c>
      <c r="I22" s="317" t="s">
        <v>1310</v>
      </c>
      <c r="J22" s="301"/>
      <c r="K22" s="301"/>
      <c r="L22" s="298"/>
      <c r="M22" s="298"/>
      <c r="N22" s="298"/>
      <c r="O22" s="309"/>
      <c r="P22" s="298"/>
      <c r="Q22" s="298"/>
      <c r="R22" s="298"/>
      <c r="S22" s="298"/>
      <c r="T22" s="298"/>
      <c r="U22" s="298"/>
      <c r="V22" s="298"/>
      <c r="W22" s="298"/>
      <c r="X22" s="298"/>
      <c r="Y22" s="298"/>
      <c r="Z22" s="298"/>
      <c r="AA22" s="298"/>
      <c r="AB22" s="298"/>
      <c r="AC22" s="298"/>
      <c r="AD22" s="298"/>
      <c r="AE22" s="298"/>
    </row>
    <row r="23" spans="1:31" ht="20" customHeight="1" thickBot="1" x14ac:dyDescent="0.25">
      <c r="A23" s="298"/>
      <c r="B23" s="298" t="s">
        <v>1311</v>
      </c>
      <c r="C23" s="298"/>
      <c r="D23" s="298"/>
      <c r="E23" s="301"/>
      <c r="F23" s="301"/>
      <c r="G23" s="301"/>
      <c r="H23" s="301"/>
      <c r="I23" s="301"/>
      <c r="J23" s="301"/>
      <c r="K23" s="296" t="s">
        <v>1331</v>
      </c>
      <c r="L23" s="297" t="str">
        <f>+Idiomas!D12</f>
        <v>Donate</v>
      </c>
      <c r="M23" s="298"/>
      <c r="N23" s="309"/>
      <c r="O23" s="309"/>
      <c r="P23" s="298"/>
      <c r="Q23" s="298"/>
      <c r="R23" s="298"/>
      <c r="S23" s="298"/>
      <c r="T23" s="298"/>
      <c r="U23" s="298"/>
      <c r="V23" s="298"/>
      <c r="W23" s="298"/>
      <c r="X23" s="298"/>
      <c r="Y23" s="298"/>
      <c r="Z23" s="298"/>
      <c r="AA23" s="298"/>
      <c r="AB23" s="298"/>
      <c r="AC23" s="298"/>
      <c r="AD23" s="298"/>
      <c r="AE23" s="298"/>
    </row>
    <row r="24" spans="1:31" ht="30" customHeight="1" x14ac:dyDescent="0.2">
      <c r="A24" s="298"/>
      <c r="B24" s="636"/>
      <c r="C24" s="637"/>
      <c r="D24" s="298"/>
      <c r="E24" s="301"/>
      <c r="F24" s="301"/>
      <c r="G24" s="301"/>
      <c r="H24" s="318"/>
      <c r="I24" s="318"/>
      <c r="J24" s="301"/>
      <c r="K24" s="318"/>
      <c r="L24" s="309"/>
      <c r="M24" s="309"/>
      <c r="N24" s="309"/>
      <c r="O24" s="309"/>
      <c r="P24" s="298"/>
      <c r="Q24" s="298"/>
      <c r="R24" s="298"/>
      <c r="S24" s="298"/>
      <c r="T24" s="298"/>
      <c r="U24" s="298"/>
      <c r="V24" s="298"/>
      <c r="W24" s="298"/>
      <c r="X24" s="298"/>
      <c r="Y24" s="298"/>
      <c r="Z24" s="298"/>
      <c r="AA24" s="298"/>
      <c r="AB24" s="298"/>
      <c r="AC24" s="298"/>
      <c r="AD24" s="298"/>
      <c r="AE24" s="298"/>
    </row>
    <row r="25" spans="1:31" x14ac:dyDescent="0.2">
      <c r="A25" s="298"/>
      <c r="B25" s="298"/>
      <c r="C25" s="298"/>
      <c r="D25" s="298"/>
      <c r="E25" s="301"/>
      <c r="F25" s="301"/>
      <c r="G25" s="301"/>
      <c r="H25" s="318"/>
      <c r="I25" s="318"/>
      <c r="J25" s="301"/>
      <c r="K25" s="318"/>
      <c r="L25" s="309"/>
      <c r="M25" s="309"/>
      <c r="N25" s="309"/>
      <c r="O25" s="309"/>
      <c r="P25" s="298"/>
      <c r="Q25" s="298"/>
      <c r="R25" s="298"/>
      <c r="S25" s="298"/>
      <c r="T25" s="298"/>
      <c r="U25" s="298"/>
      <c r="V25" s="298"/>
      <c r="W25" s="298"/>
      <c r="X25" s="298"/>
      <c r="Y25" s="298"/>
      <c r="Z25" s="298"/>
      <c r="AA25" s="298"/>
      <c r="AB25" s="298"/>
      <c r="AC25" s="298"/>
      <c r="AD25" s="298"/>
      <c r="AE25" s="298"/>
    </row>
    <row r="26" spans="1:31" x14ac:dyDescent="0.2">
      <c r="A26" s="298"/>
      <c r="B26" s="298"/>
      <c r="C26" s="298"/>
      <c r="D26" s="298"/>
      <c r="E26" s="298"/>
      <c r="F26" s="298"/>
      <c r="G26" s="298"/>
      <c r="H26" s="298"/>
      <c r="I26" s="298"/>
      <c r="J26" s="301"/>
      <c r="K26" s="298"/>
      <c r="L26" s="298"/>
      <c r="M26" s="298"/>
      <c r="N26" s="298"/>
      <c r="O26" s="298"/>
      <c r="P26" s="298"/>
      <c r="Q26" s="298"/>
      <c r="R26" s="298"/>
      <c r="S26" s="298"/>
      <c r="T26" s="298"/>
      <c r="U26" s="298"/>
      <c r="V26" s="298"/>
      <c r="W26" s="298"/>
      <c r="X26" s="298"/>
      <c r="Y26" s="298"/>
      <c r="Z26" s="298"/>
      <c r="AA26" s="298"/>
      <c r="AB26" s="298"/>
      <c r="AC26" s="298"/>
      <c r="AD26" s="298"/>
      <c r="AE26" s="298"/>
    </row>
    <row r="27" spans="1:31" x14ac:dyDescent="0.2">
      <c r="A27" s="298"/>
      <c r="B27" s="298"/>
      <c r="C27" s="298"/>
      <c r="D27" s="298"/>
      <c r="E27" s="298"/>
      <c r="F27" s="298"/>
      <c r="G27" s="298"/>
      <c r="H27" s="298"/>
      <c r="I27" s="298"/>
      <c r="J27" s="301"/>
      <c r="K27" s="298"/>
      <c r="L27" s="298"/>
      <c r="M27" s="298"/>
      <c r="N27" s="298"/>
      <c r="O27" s="298"/>
      <c r="P27" s="298"/>
      <c r="Q27" s="298"/>
      <c r="R27" s="298"/>
      <c r="S27" s="298"/>
      <c r="T27" s="298"/>
      <c r="U27" s="298"/>
      <c r="V27" s="298"/>
      <c r="W27" s="298"/>
      <c r="X27" s="298"/>
      <c r="Y27" s="298"/>
      <c r="Z27" s="298"/>
      <c r="AA27" s="298"/>
      <c r="AB27" s="298"/>
      <c r="AC27" s="298"/>
      <c r="AD27" s="298"/>
      <c r="AE27" s="298"/>
    </row>
    <row r="28" spans="1:31" x14ac:dyDescent="0.2">
      <c r="A28" s="298"/>
      <c r="B28" s="298"/>
      <c r="C28" s="298"/>
      <c r="D28" s="298"/>
      <c r="E28" s="298"/>
      <c r="F28" s="298"/>
      <c r="G28" s="298"/>
      <c r="H28" s="298"/>
      <c r="I28" s="298"/>
      <c r="J28" s="301"/>
      <c r="K28" s="298"/>
      <c r="L28" s="298"/>
      <c r="M28" s="298"/>
      <c r="N28" s="298"/>
      <c r="O28" s="298"/>
      <c r="P28" s="298"/>
      <c r="Q28" s="298"/>
      <c r="R28" s="298"/>
      <c r="S28" s="298"/>
      <c r="T28" s="298"/>
      <c r="U28" s="298"/>
      <c r="V28" s="298"/>
      <c r="W28" s="298"/>
      <c r="X28" s="298"/>
      <c r="Y28" s="298"/>
      <c r="Z28" s="298"/>
      <c r="AA28" s="298"/>
      <c r="AB28" s="298"/>
      <c r="AC28" s="298"/>
      <c r="AD28" s="298"/>
      <c r="AE28" s="298"/>
    </row>
    <row r="29" spans="1:31" x14ac:dyDescent="0.2">
      <c r="A29" s="298"/>
      <c r="B29" s="298"/>
      <c r="C29" s="298"/>
      <c r="D29" s="298"/>
      <c r="E29" s="298"/>
      <c r="F29" s="298"/>
      <c r="G29" s="298"/>
      <c r="H29" s="298"/>
      <c r="I29" s="298"/>
      <c r="J29" s="298"/>
      <c r="K29" s="298"/>
      <c r="L29" s="298"/>
      <c r="M29" s="298"/>
      <c r="N29" s="298"/>
      <c r="O29" s="298"/>
      <c r="P29" s="298"/>
      <c r="Q29" s="298"/>
      <c r="R29" s="298"/>
      <c r="S29" s="298"/>
      <c r="T29" s="298"/>
      <c r="U29" s="298"/>
      <c r="V29" s="298"/>
      <c r="W29" s="298"/>
      <c r="X29" s="298"/>
      <c r="Y29" s="298"/>
      <c r="Z29" s="298"/>
      <c r="AA29" s="298"/>
      <c r="AB29" s="298"/>
      <c r="AC29" s="298"/>
      <c r="AD29" s="298"/>
      <c r="AE29" s="298"/>
    </row>
    <row r="30" spans="1:31" x14ac:dyDescent="0.2">
      <c r="A30" s="298"/>
      <c r="B30" s="298"/>
      <c r="C30" s="298"/>
      <c r="D30" s="298"/>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8"/>
    </row>
    <row r="31" spans="1:31" x14ac:dyDescent="0.2">
      <c r="A31" s="298"/>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c r="Z31" s="298"/>
      <c r="AA31" s="298"/>
      <c r="AB31" s="298"/>
      <c r="AC31" s="298"/>
      <c r="AD31" s="298"/>
      <c r="AE31" s="298"/>
    </row>
    <row r="32" spans="1:31" x14ac:dyDescent="0.2">
      <c r="A32" s="298"/>
      <c r="B32" s="298"/>
      <c r="C32" s="298"/>
      <c r="D32" s="298"/>
      <c r="E32" s="298"/>
      <c r="F32" s="298"/>
      <c r="G32" s="298"/>
      <c r="H32" s="298"/>
      <c r="I32" s="298"/>
      <c r="J32" s="298"/>
      <c r="K32" s="298"/>
      <c r="L32" s="298"/>
      <c r="M32" s="298"/>
      <c r="N32" s="298"/>
      <c r="O32" s="298"/>
      <c r="P32" s="298"/>
      <c r="Q32" s="298"/>
      <c r="R32" s="298"/>
      <c r="S32" s="298"/>
      <c r="T32" s="298"/>
      <c r="U32" s="298"/>
      <c r="V32" s="298"/>
      <c r="W32" s="298"/>
      <c r="X32" s="298"/>
      <c r="Y32" s="298"/>
      <c r="Z32" s="298"/>
      <c r="AA32" s="298"/>
      <c r="AB32" s="298"/>
      <c r="AC32" s="298"/>
      <c r="AD32" s="298"/>
      <c r="AE32" s="298"/>
    </row>
    <row r="33" spans="1:31" x14ac:dyDescent="0.2">
      <c r="A33" s="298"/>
      <c r="B33" s="298"/>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8"/>
      <c r="AE33" s="298"/>
    </row>
    <row r="34" spans="1:31" x14ac:dyDescent="0.2">
      <c r="A34" s="298"/>
      <c r="B34" s="298"/>
      <c r="C34" s="298"/>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298"/>
      <c r="AE34" s="298"/>
    </row>
    <row r="35" spans="1:31" x14ac:dyDescent="0.2">
      <c r="A35" s="298"/>
      <c r="B35" s="298"/>
      <c r="C35" s="298"/>
      <c r="D35" s="298"/>
      <c r="E35" s="298"/>
      <c r="F35" s="298"/>
      <c r="G35" s="298"/>
      <c r="H35" s="298"/>
      <c r="I35" s="298"/>
      <c r="J35" s="298"/>
      <c r="K35" s="298"/>
      <c r="L35" s="298"/>
      <c r="M35" s="298"/>
      <c r="N35" s="298"/>
      <c r="O35" s="298"/>
      <c r="P35" s="298"/>
      <c r="Q35" s="298"/>
      <c r="R35" s="298"/>
      <c r="S35" s="298"/>
      <c r="T35" s="298"/>
      <c r="U35" s="298"/>
      <c r="V35" s="298"/>
      <c r="W35" s="298"/>
      <c r="X35" s="298"/>
      <c r="Y35" s="298"/>
      <c r="Z35" s="298"/>
      <c r="AA35" s="298"/>
      <c r="AB35" s="298"/>
      <c r="AC35" s="298"/>
      <c r="AD35" s="298"/>
      <c r="AE35" s="298"/>
    </row>
    <row r="36" spans="1:31" x14ac:dyDescent="0.2">
      <c r="A36" s="298"/>
      <c r="B36" s="298"/>
      <c r="C36" s="298"/>
      <c r="D36" s="298"/>
      <c r="E36" s="298"/>
      <c r="F36" s="298"/>
      <c r="G36" s="298"/>
      <c r="H36" s="298"/>
      <c r="I36" s="298"/>
      <c r="J36" s="298"/>
      <c r="K36" s="298"/>
      <c r="L36" s="298"/>
      <c r="M36" s="298"/>
      <c r="N36" s="298"/>
      <c r="O36" s="298"/>
      <c r="P36" s="298"/>
      <c r="Q36" s="298"/>
      <c r="R36" s="298"/>
      <c r="S36" s="298"/>
      <c r="T36" s="298"/>
      <c r="U36" s="298"/>
      <c r="V36" s="298"/>
      <c r="W36" s="298"/>
      <c r="X36" s="298"/>
      <c r="Y36" s="298"/>
      <c r="Z36" s="298"/>
      <c r="AA36" s="298"/>
      <c r="AB36" s="298"/>
      <c r="AC36" s="298"/>
      <c r="AD36" s="298"/>
      <c r="AE36" s="298"/>
    </row>
    <row r="37" spans="1:31" x14ac:dyDescent="0.2">
      <c r="A37" s="298"/>
      <c r="B37" s="298"/>
      <c r="C37" s="298"/>
      <c r="D37" s="298"/>
      <c r="E37" s="298"/>
      <c r="F37" s="298"/>
      <c r="G37" s="298"/>
      <c r="H37" s="298"/>
      <c r="I37" s="298"/>
      <c r="J37" s="298"/>
      <c r="K37" s="298"/>
      <c r="L37" s="298"/>
      <c r="M37" s="298"/>
      <c r="N37" s="298"/>
      <c r="O37" s="298"/>
      <c r="P37" s="298"/>
      <c r="Q37" s="298"/>
      <c r="R37" s="298"/>
      <c r="S37" s="298"/>
      <c r="T37" s="298"/>
      <c r="U37" s="298"/>
      <c r="V37" s="298"/>
      <c r="W37" s="298"/>
      <c r="X37" s="298"/>
      <c r="Y37" s="298"/>
      <c r="Z37" s="298"/>
      <c r="AA37" s="298"/>
      <c r="AB37" s="298"/>
      <c r="AC37" s="298"/>
      <c r="AD37" s="298"/>
      <c r="AE37" s="298"/>
    </row>
    <row r="38" spans="1:31" x14ac:dyDescent="0.2">
      <c r="A38" s="298"/>
      <c r="B38" s="298"/>
      <c r="C38" s="298"/>
      <c r="D38" s="298"/>
      <c r="E38" s="298"/>
      <c r="F38" s="298"/>
      <c r="G38" s="298"/>
      <c r="H38" s="298"/>
      <c r="I38" s="298"/>
      <c r="J38" s="298"/>
      <c r="K38" s="298"/>
      <c r="L38" s="298"/>
      <c r="M38" s="298"/>
      <c r="N38" s="298"/>
      <c r="O38" s="298"/>
      <c r="P38" s="298"/>
      <c r="Q38" s="298"/>
      <c r="R38" s="298"/>
      <c r="S38" s="298"/>
      <c r="T38" s="298"/>
      <c r="U38" s="298"/>
      <c r="V38" s="298"/>
      <c r="W38" s="298"/>
      <c r="X38" s="298"/>
      <c r="Y38" s="298"/>
      <c r="Z38" s="298"/>
      <c r="AA38" s="298"/>
      <c r="AB38" s="298"/>
      <c r="AC38" s="298"/>
      <c r="AD38" s="298"/>
      <c r="AE38" s="298"/>
    </row>
    <row r="39" spans="1:31" x14ac:dyDescent="0.2">
      <c r="A39" s="298"/>
      <c r="B39" s="298"/>
      <c r="C39" s="298"/>
      <c r="D39" s="298"/>
      <c r="E39" s="298"/>
      <c r="F39" s="298"/>
      <c r="G39" s="298"/>
      <c r="H39" s="298"/>
      <c r="I39" s="298"/>
      <c r="J39" s="298"/>
      <c r="K39" s="298"/>
      <c r="L39" s="298"/>
      <c r="M39" s="298"/>
      <c r="N39" s="298"/>
      <c r="O39" s="298"/>
      <c r="P39" s="298"/>
      <c r="Q39" s="298"/>
      <c r="R39" s="298"/>
      <c r="S39" s="298"/>
      <c r="T39" s="298"/>
      <c r="U39" s="298"/>
      <c r="V39" s="298"/>
      <c r="W39" s="298"/>
      <c r="X39" s="298"/>
      <c r="Y39" s="298"/>
      <c r="Z39" s="298"/>
      <c r="AA39" s="298"/>
      <c r="AB39" s="298"/>
      <c r="AC39" s="298"/>
      <c r="AD39" s="298"/>
      <c r="AE39" s="298"/>
    </row>
    <row r="40" spans="1:31" x14ac:dyDescent="0.2">
      <c r="A40" s="298"/>
      <c r="B40" s="298"/>
      <c r="C40" s="298"/>
      <c r="D40" s="298"/>
      <c r="E40" s="298"/>
      <c r="F40" s="298"/>
      <c r="G40" s="298"/>
      <c r="H40" s="298"/>
      <c r="I40" s="298"/>
      <c r="J40" s="298"/>
      <c r="K40" s="298"/>
      <c r="L40" s="298"/>
      <c r="M40" s="298"/>
      <c r="N40" s="298"/>
      <c r="O40" s="298"/>
      <c r="P40" s="298"/>
      <c r="Q40" s="298"/>
      <c r="R40" s="298"/>
      <c r="S40" s="298"/>
      <c r="T40" s="298"/>
      <c r="U40" s="298"/>
      <c r="V40" s="298"/>
      <c r="W40" s="298"/>
      <c r="X40" s="298"/>
      <c r="Y40" s="298"/>
      <c r="Z40" s="298"/>
      <c r="AA40" s="298"/>
      <c r="AB40" s="298"/>
      <c r="AC40" s="298"/>
      <c r="AD40" s="298"/>
      <c r="AE40" s="298"/>
    </row>
    <row r="41" spans="1:31" x14ac:dyDescent="0.2">
      <c r="A41" s="298"/>
      <c r="B41" s="298"/>
      <c r="C41" s="298"/>
      <c r="D41" s="298"/>
      <c r="E41" s="298"/>
      <c r="F41" s="298"/>
      <c r="G41" s="298"/>
      <c r="H41" s="298"/>
      <c r="I41" s="298"/>
      <c r="J41" s="298"/>
      <c r="K41" s="298"/>
      <c r="L41" s="298"/>
      <c r="M41" s="298"/>
      <c r="N41" s="298"/>
      <c r="O41" s="298"/>
      <c r="P41" s="298"/>
      <c r="Q41" s="298"/>
      <c r="R41" s="298"/>
      <c r="S41" s="298"/>
      <c r="T41" s="298"/>
      <c r="U41" s="298"/>
      <c r="V41" s="298"/>
      <c r="W41" s="298"/>
      <c r="X41" s="298"/>
      <c r="Y41" s="298"/>
      <c r="Z41" s="298"/>
      <c r="AA41" s="298"/>
      <c r="AB41" s="298"/>
      <c r="AC41" s="298"/>
      <c r="AD41" s="298"/>
      <c r="AE41" s="298"/>
    </row>
    <row r="42" spans="1:31" x14ac:dyDescent="0.2">
      <c r="A42" s="298"/>
      <c r="B42" s="298"/>
      <c r="C42" s="298"/>
      <c r="D42" s="298"/>
      <c r="E42" s="298"/>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row>
    <row r="43" spans="1:31" x14ac:dyDescent="0.2">
      <c r="A43" s="298"/>
      <c r="B43" s="298"/>
      <c r="C43" s="298"/>
      <c r="D43" s="298"/>
      <c r="E43" s="298"/>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row>
    <row r="44" spans="1:31" x14ac:dyDescent="0.2">
      <c r="A44" s="298"/>
      <c r="B44" s="298"/>
      <c r="C44" s="298"/>
      <c r="D44" s="298"/>
      <c r="E44" s="298"/>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row>
    <row r="45" spans="1:31" x14ac:dyDescent="0.2">
      <c r="A45" s="298"/>
      <c r="B45" s="298"/>
      <c r="C45" s="298"/>
      <c r="D45" s="298"/>
      <c r="E45" s="298"/>
      <c r="F45" s="298"/>
      <c r="G45" s="298"/>
      <c r="H45" s="298"/>
      <c r="I45" s="298"/>
      <c r="J45" s="298"/>
      <c r="K45" s="298"/>
      <c r="L45" s="298"/>
      <c r="M45" s="298"/>
      <c r="N45" s="298"/>
      <c r="O45" s="298"/>
      <c r="P45" s="298"/>
      <c r="Q45" s="298"/>
      <c r="R45" s="298"/>
      <c r="S45" s="298"/>
      <c r="T45" s="298"/>
      <c r="U45" s="298"/>
      <c r="V45" s="298"/>
      <c r="W45" s="298"/>
      <c r="X45" s="298"/>
      <c r="Y45" s="298"/>
      <c r="Z45" s="298"/>
      <c r="AA45" s="298"/>
      <c r="AB45" s="298"/>
      <c r="AC45" s="298"/>
      <c r="AD45" s="298"/>
      <c r="AE45" s="298"/>
    </row>
    <row r="46" spans="1:31" x14ac:dyDescent="0.2">
      <c r="A46" s="298"/>
      <c r="B46" s="298"/>
      <c r="C46" s="298"/>
      <c r="D46" s="298"/>
      <c r="E46" s="298"/>
      <c r="F46" s="298"/>
      <c r="G46" s="298"/>
      <c r="H46" s="298"/>
      <c r="I46" s="298"/>
      <c r="J46" s="298"/>
      <c r="K46" s="298"/>
      <c r="L46" s="298"/>
      <c r="M46" s="298"/>
      <c r="N46" s="298"/>
      <c r="O46" s="298"/>
      <c r="P46" s="298"/>
      <c r="Q46" s="298"/>
      <c r="R46" s="298"/>
      <c r="S46" s="298"/>
      <c r="T46" s="298"/>
      <c r="U46" s="298"/>
      <c r="V46" s="298"/>
      <c r="W46" s="298"/>
      <c r="X46" s="298"/>
      <c r="Y46" s="298"/>
      <c r="Z46" s="298"/>
      <c r="AA46" s="298"/>
      <c r="AB46" s="298"/>
      <c r="AC46" s="298"/>
      <c r="AD46" s="298"/>
      <c r="AE46" s="298"/>
    </row>
    <row r="47" spans="1:31" x14ac:dyDescent="0.2">
      <c r="A47" s="298"/>
      <c r="B47" s="298"/>
      <c r="C47" s="298"/>
      <c r="D47" s="298"/>
      <c r="E47" s="298"/>
      <c r="F47" s="298"/>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row>
    <row r="48" spans="1:31" x14ac:dyDescent="0.2">
      <c r="A48" s="298"/>
      <c r="B48" s="298"/>
      <c r="C48" s="298"/>
      <c r="D48" s="298"/>
      <c r="E48" s="298"/>
      <c r="F48" s="298"/>
      <c r="G48" s="298"/>
      <c r="H48" s="298"/>
      <c r="I48" s="298"/>
      <c r="J48" s="298"/>
      <c r="K48" s="298"/>
      <c r="L48" s="298"/>
      <c r="M48" s="298"/>
      <c r="N48" s="298"/>
      <c r="O48" s="298"/>
      <c r="P48" s="298"/>
      <c r="Q48" s="298"/>
      <c r="R48" s="298"/>
      <c r="S48" s="298"/>
      <c r="T48" s="298"/>
      <c r="U48" s="298"/>
      <c r="V48" s="298"/>
      <c r="W48" s="298"/>
      <c r="X48" s="298"/>
      <c r="Y48" s="298"/>
      <c r="Z48" s="298"/>
      <c r="AA48" s="298"/>
      <c r="AB48" s="298"/>
      <c r="AC48" s="298"/>
      <c r="AD48" s="298"/>
      <c r="AE48" s="298"/>
    </row>
    <row r="49" spans="1:31" x14ac:dyDescent="0.2">
      <c r="A49" s="298"/>
      <c r="B49" s="298"/>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row>
    <row r="50" spans="1:31" x14ac:dyDescent="0.2">
      <c r="A50" s="298"/>
      <c r="B50" s="298"/>
      <c r="C50" s="298"/>
      <c r="D50" s="298"/>
      <c r="E50" s="298"/>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row>
    <row r="51" spans="1:31" x14ac:dyDescent="0.2">
      <c r="A51"/>
      <c r="B51"/>
      <c r="C51"/>
      <c r="D51"/>
      <c r="E51"/>
      <c r="F51"/>
      <c r="G51"/>
      <c r="H51"/>
      <c r="I51"/>
      <c r="J51"/>
      <c r="K51"/>
      <c r="L51"/>
      <c r="M51"/>
      <c r="N51"/>
      <c r="O51"/>
      <c r="P51"/>
      <c r="Q51"/>
      <c r="R51"/>
      <c r="S51"/>
      <c r="T51"/>
      <c r="U51"/>
      <c r="V51"/>
      <c r="W51"/>
      <c r="X51"/>
      <c r="Y51"/>
      <c r="Z51"/>
      <c r="AA51"/>
      <c r="AB51"/>
      <c r="AC51"/>
      <c r="AD51"/>
      <c r="AE51"/>
    </row>
    <row r="52" spans="1:31" x14ac:dyDescent="0.2">
      <c r="A52"/>
      <c r="B52"/>
      <c r="C52"/>
      <c r="D52"/>
      <c r="E52"/>
      <c r="F52"/>
      <c r="G52"/>
      <c r="H52"/>
      <c r="I52"/>
      <c r="J52"/>
      <c r="K52"/>
      <c r="L52"/>
      <c r="M52"/>
      <c r="N52"/>
      <c r="O52"/>
      <c r="P52"/>
      <c r="Q52"/>
      <c r="R52"/>
      <c r="S52"/>
      <c r="T52"/>
      <c r="U52"/>
      <c r="V52"/>
      <c r="W52"/>
      <c r="X52"/>
      <c r="Y52"/>
      <c r="Z52"/>
      <c r="AA52"/>
      <c r="AB52"/>
      <c r="AC52"/>
      <c r="AD52"/>
      <c r="AE52"/>
    </row>
    <row r="53" spans="1:31" x14ac:dyDescent="0.2">
      <c r="A53"/>
      <c r="B53"/>
      <c r="C53"/>
      <c r="D53"/>
      <c r="E53"/>
      <c r="F53"/>
      <c r="G53"/>
      <c r="H53"/>
      <c r="I53"/>
      <c r="J53"/>
      <c r="K53"/>
      <c r="L53"/>
      <c r="M53"/>
      <c r="N53"/>
      <c r="O53"/>
      <c r="P53"/>
      <c r="Q53"/>
      <c r="R53"/>
      <c r="S53"/>
      <c r="T53"/>
      <c r="U53"/>
      <c r="V53"/>
      <c r="W53"/>
      <c r="X53"/>
      <c r="Y53"/>
      <c r="Z53"/>
      <c r="AA53"/>
      <c r="AB53"/>
      <c r="AC53"/>
      <c r="AD53"/>
      <c r="AE53"/>
    </row>
    <row r="54" spans="1:31" x14ac:dyDescent="0.2">
      <c r="A54"/>
      <c r="B54"/>
      <c r="C54"/>
      <c r="D54"/>
      <c r="E54"/>
      <c r="F54"/>
      <c r="G54"/>
      <c r="H54"/>
      <c r="I54"/>
      <c r="J54"/>
      <c r="K54"/>
      <c r="L54"/>
      <c r="M54"/>
      <c r="N54"/>
      <c r="O54"/>
      <c r="P54"/>
      <c r="Q54"/>
      <c r="R54"/>
      <c r="S54"/>
      <c r="T54"/>
      <c r="U54"/>
      <c r="V54"/>
      <c r="W54"/>
      <c r="X54"/>
      <c r="Y54"/>
      <c r="Z54"/>
      <c r="AA54"/>
      <c r="AB54"/>
      <c r="AC54"/>
      <c r="AD54"/>
      <c r="AE54"/>
    </row>
    <row r="55" spans="1:31" x14ac:dyDescent="0.2">
      <c r="A55"/>
      <c r="B55"/>
      <c r="C55"/>
      <c r="D55"/>
      <c r="E55"/>
      <c r="F55"/>
      <c r="G55"/>
      <c r="H55"/>
      <c r="I55"/>
      <c r="J55"/>
      <c r="K55"/>
      <c r="L55"/>
      <c r="M55"/>
      <c r="N55"/>
      <c r="O55"/>
      <c r="P55"/>
      <c r="Q55"/>
      <c r="R55"/>
      <c r="S55"/>
      <c r="T55"/>
      <c r="U55"/>
      <c r="V55"/>
      <c r="W55"/>
      <c r="X55"/>
      <c r="Y55"/>
      <c r="Z55"/>
      <c r="AA55"/>
      <c r="AB55"/>
      <c r="AC55"/>
      <c r="AD55"/>
      <c r="AE55"/>
    </row>
    <row r="56" spans="1:31" x14ac:dyDescent="0.2">
      <c r="A56"/>
      <c r="B56"/>
      <c r="C56"/>
      <c r="D56"/>
      <c r="E56"/>
      <c r="F56"/>
      <c r="G56"/>
      <c r="H56"/>
      <c r="I56"/>
      <c r="J56"/>
      <c r="K56"/>
      <c r="L56"/>
      <c r="M56"/>
      <c r="N56"/>
      <c r="O56"/>
      <c r="P56"/>
      <c r="Q56"/>
      <c r="R56"/>
      <c r="S56"/>
      <c r="T56"/>
      <c r="U56"/>
      <c r="V56"/>
      <c r="W56"/>
      <c r="X56"/>
      <c r="Y56"/>
      <c r="Z56"/>
      <c r="AA56"/>
      <c r="AB56"/>
      <c r="AC56"/>
      <c r="AD56"/>
      <c r="AE56"/>
    </row>
    <row r="57" spans="1:31" x14ac:dyDescent="0.2">
      <c r="A57"/>
      <c r="B57"/>
      <c r="C57"/>
      <c r="D57"/>
      <c r="E57"/>
      <c r="F57"/>
      <c r="G57"/>
      <c r="H57"/>
      <c r="I57"/>
      <c r="J57"/>
      <c r="K57"/>
      <c r="L57"/>
      <c r="M57"/>
      <c r="N57"/>
      <c r="O57"/>
      <c r="P57"/>
      <c r="Q57"/>
      <c r="R57"/>
      <c r="S57"/>
      <c r="T57"/>
      <c r="U57"/>
      <c r="V57"/>
      <c r="W57"/>
      <c r="X57"/>
      <c r="Y57"/>
      <c r="Z57"/>
      <c r="AA57"/>
      <c r="AB57"/>
      <c r="AC57"/>
      <c r="AD57"/>
      <c r="AE57"/>
    </row>
    <row r="58" spans="1:31" x14ac:dyDescent="0.2">
      <c r="A58"/>
      <c r="B58"/>
      <c r="C58"/>
      <c r="D58"/>
      <c r="E58"/>
      <c r="F58"/>
      <c r="G58"/>
      <c r="H58"/>
      <c r="I58"/>
      <c r="J58"/>
      <c r="K58"/>
      <c r="L58"/>
      <c r="M58"/>
      <c r="N58"/>
      <c r="O58"/>
      <c r="P58"/>
      <c r="Q58"/>
      <c r="R58"/>
      <c r="S58"/>
      <c r="T58"/>
      <c r="U58"/>
      <c r="V58"/>
      <c r="W58"/>
      <c r="X58"/>
      <c r="Y58"/>
      <c r="Z58"/>
      <c r="AA58"/>
      <c r="AB58"/>
      <c r="AC58"/>
      <c r="AD58"/>
      <c r="AE58"/>
    </row>
    <row r="59" spans="1:31" x14ac:dyDescent="0.2">
      <c r="A59"/>
      <c r="B59"/>
      <c r="C59"/>
      <c r="D59"/>
      <c r="E59"/>
      <c r="F59"/>
      <c r="G59"/>
      <c r="H59"/>
      <c r="I59"/>
      <c r="J59"/>
      <c r="K59"/>
      <c r="L59"/>
      <c r="M59"/>
      <c r="N59"/>
      <c r="O59"/>
      <c r="P59"/>
      <c r="Q59"/>
      <c r="R59"/>
      <c r="S59"/>
      <c r="T59"/>
      <c r="U59"/>
      <c r="V59"/>
      <c r="W59"/>
      <c r="X59"/>
      <c r="Y59"/>
      <c r="Z59"/>
      <c r="AA59"/>
      <c r="AB59"/>
      <c r="AC59"/>
      <c r="AD59"/>
      <c r="AE59"/>
    </row>
    <row r="60" spans="1:31" x14ac:dyDescent="0.2">
      <c r="A60"/>
      <c r="B60"/>
      <c r="C60"/>
      <c r="D60"/>
      <c r="E60"/>
      <c r="F60"/>
      <c r="G60"/>
      <c r="H60"/>
      <c r="I60"/>
      <c r="J60"/>
      <c r="K60"/>
      <c r="L60"/>
      <c r="M60"/>
      <c r="N60"/>
      <c r="O60"/>
      <c r="P60"/>
      <c r="Q60"/>
      <c r="R60"/>
      <c r="S60"/>
      <c r="T60"/>
      <c r="U60"/>
      <c r="V60"/>
      <c r="W60"/>
      <c r="X60"/>
      <c r="Y60"/>
      <c r="Z60"/>
      <c r="AA60"/>
      <c r="AB60"/>
      <c r="AC60"/>
      <c r="AD60"/>
      <c r="AE60"/>
    </row>
    <row r="61" spans="1:31" x14ac:dyDescent="0.2">
      <c r="A61"/>
      <c r="B61"/>
      <c r="C61"/>
      <c r="D61"/>
      <c r="E61"/>
      <c r="F61"/>
      <c r="G61"/>
      <c r="H61"/>
      <c r="I61"/>
      <c r="J61"/>
      <c r="K61"/>
      <c r="L61"/>
      <c r="M61"/>
      <c r="N61"/>
      <c r="O61"/>
      <c r="P61"/>
      <c r="Q61"/>
      <c r="R61"/>
      <c r="S61"/>
      <c r="T61"/>
      <c r="U61"/>
      <c r="V61"/>
      <c r="W61"/>
      <c r="X61"/>
      <c r="Y61"/>
      <c r="Z61"/>
      <c r="AA61"/>
      <c r="AB61"/>
      <c r="AC61"/>
      <c r="AD61"/>
      <c r="AE61"/>
    </row>
    <row r="62" spans="1:31" x14ac:dyDescent="0.2">
      <c r="A62"/>
      <c r="B62"/>
      <c r="C62"/>
      <c r="D62"/>
      <c r="E62"/>
      <c r="F62"/>
      <c r="G62"/>
      <c r="H62"/>
      <c r="I62"/>
      <c r="J62"/>
      <c r="K62"/>
      <c r="L62"/>
      <c r="M62"/>
      <c r="N62"/>
      <c r="O62"/>
      <c r="P62"/>
      <c r="Q62"/>
      <c r="R62"/>
      <c r="S62"/>
      <c r="T62"/>
      <c r="U62"/>
      <c r="V62"/>
      <c r="W62"/>
      <c r="X62"/>
      <c r="Y62"/>
      <c r="Z62"/>
      <c r="AA62"/>
      <c r="AB62"/>
      <c r="AC62"/>
      <c r="AD62"/>
      <c r="AE62"/>
    </row>
    <row r="63" spans="1:31" x14ac:dyDescent="0.2">
      <c r="A63"/>
      <c r="B63"/>
      <c r="C63"/>
      <c r="D63"/>
      <c r="E63"/>
      <c r="F63"/>
      <c r="G63"/>
      <c r="H63"/>
      <c r="I63"/>
      <c r="J63"/>
      <c r="K63"/>
      <c r="L63"/>
      <c r="M63"/>
      <c r="N63"/>
      <c r="O63"/>
      <c r="P63"/>
      <c r="Q63"/>
      <c r="R63"/>
      <c r="S63"/>
      <c r="T63"/>
      <c r="U63"/>
      <c r="V63"/>
      <c r="W63"/>
      <c r="X63"/>
      <c r="Y63"/>
      <c r="Z63"/>
      <c r="AA63"/>
      <c r="AB63"/>
      <c r="AC63"/>
      <c r="AD63"/>
      <c r="AE63"/>
    </row>
    <row r="64" spans="1:31" x14ac:dyDescent="0.2">
      <c r="A64"/>
      <c r="B64"/>
      <c r="C64"/>
      <c r="D64"/>
      <c r="E64"/>
      <c r="F64"/>
      <c r="G64"/>
      <c r="H64"/>
      <c r="I64"/>
      <c r="J64"/>
      <c r="K64"/>
      <c r="L64"/>
      <c r="M64"/>
      <c r="N64"/>
      <c r="O64"/>
      <c r="P64"/>
      <c r="Q64"/>
      <c r="R64"/>
      <c r="S64"/>
      <c r="T64"/>
      <c r="U64"/>
      <c r="V64"/>
      <c r="W64"/>
      <c r="X64"/>
      <c r="Y64"/>
      <c r="Z64"/>
      <c r="AA64"/>
      <c r="AB64"/>
      <c r="AC64"/>
      <c r="AD64"/>
      <c r="AE64"/>
    </row>
  </sheetData>
  <sheetProtection algorithmName="SHA-512" hashValue="65EF7W4zfdMk2xaTXyE4QpC/M6LTKfhE3XbdaUDUGzxx98t/47SJOjXlzBITerVQ1FUiOQUutVHYTg1rGN8Sag==" saltValue="02i34Fvk60qRf1irVyMtPQ==" spinCount="100000" sheet="1" objects="1" scenarios="1"/>
  <mergeCells count="4">
    <mergeCell ref="E17:I17"/>
    <mergeCell ref="E16:I16"/>
    <mergeCell ref="B3:L3"/>
    <mergeCell ref="B24:C24"/>
  </mergeCells>
  <hyperlinks>
    <hyperlink ref="F22" r:id="rId1" xr:uid="{75EFA510-3387-D34E-8C18-36C1328BE28B}"/>
    <hyperlink ref="H22" r:id="rId2" xr:uid="{2259ABE6-DE4C-6745-A223-CF7E39442745}"/>
    <hyperlink ref="E22" r:id="rId3" xr:uid="{8C33E1C5-E145-D048-812D-1513B367950E}"/>
    <hyperlink ref="I22" r:id="rId4" xr:uid="{4FA87E94-F346-824A-B2DE-A813FBE3A762}"/>
    <hyperlink ref="G22" r:id="rId5" xr:uid="{BAD25C31-556B-784E-AC8E-F999BE06F359}"/>
    <hyperlink ref="K6" location="WORLDCUP!AC4" display="WORLDCUP!AC4" xr:uid="{C7BAA34F-AB9F-9845-800C-35E9C4802DF7}"/>
    <hyperlink ref="K8" location="Fixture!A1" display="Fixture" xr:uid="{27D0145F-39E0-8642-A9BA-95D101DA1AF7}"/>
    <hyperlink ref="L23" r:id="rId6" display="https://www.paypal.com/donate?business=PJ2B6ZBH7ZHR4&amp;currency_code=EUR" xr:uid="{EA450ECC-20FD-BA42-A945-49FB1C4717E1}"/>
    <hyperlink ref="K17" r:id="rId7" xr:uid="{B62C1094-D3CE-DA45-AAD5-44BA995917DF}"/>
    <hyperlink ref="K10" location="Credits!L2" display="Help" xr:uid="{7FBE6F04-CA10-D24D-AAD1-18A1F31F0756}"/>
  </hyperlinks>
  <pageMargins left="0.7" right="0.7" top="0.75" bottom="0.75" header="0.3" footer="0.3"/>
  <pageSetup paperSize="9" orientation="portrait" r:id="rId8"/>
  <drawing r:id="rId9"/>
  <extLst>
    <ext xmlns:x14="http://schemas.microsoft.com/office/spreadsheetml/2009/9/main" uri="{CCE6A557-97BC-4b89-ADB6-D9C93CAAB3DF}">
      <x14:dataValidations xmlns:xm="http://schemas.microsoft.com/office/excel/2006/main" count="2">
        <x14:dataValidation type="list" allowBlank="1" showInputMessage="1" showErrorMessage="1" xr:uid="{D4D17BDE-054B-BD4E-86CB-B40321F8102C}">
          <x14:formula1>
            <xm:f>Idiomas!$A$2:$A$3</xm:f>
          </x14:formula1>
          <xm:sqref>C6</xm:sqref>
        </x14:dataValidation>
        <x14:dataValidation type="list" allowBlank="1" showInputMessage="1" showErrorMessage="1" xr:uid="{74506654-5005-724D-B1F9-C638E9539039}">
          <x14:formula1>
            <xm:f>Horarios!$Q$3:$Q$86</xm:f>
          </x14:formula1>
          <xm:sqref>C8</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DT192"/>
  <sheetViews>
    <sheetView showGridLines="0" showRowColHeaders="0" topLeftCell="V1" zoomScaleNormal="100" workbookViewId="0">
      <selection activeCell="AC4" sqref="AC4"/>
      <extLst>
        <ext xmlns:xlsdti="http://schemas.microsoft.com/office/spreadsheetml/2023/showDataTypeIcons" uri="{77bfe23e-c014-4d31-8a63-9c772dbf06b6}">
          <xlsdti:showDataTypeIcons visible="0"/>
        </ext>
      </extLst>
    </sheetView>
  </sheetViews>
  <sheetFormatPr baseColWidth="10" defaultColWidth="0" defaultRowHeight="15" x14ac:dyDescent="0.2"/>
  <cols>
    <col min="1" max="2" width="10.83203125" hidden="1" customWidth="1"/>
    <col min="3" max="3" width="2.1640625" hidden="1" customWidth="1"/>
    <col min="4" max="10" width="8.83203125" hidden="1" customWidth="1"/>
    <col min="11" max="11" width="12.83203125" hidden="1" customWidth="1"/>
    <col min="12" max="14" width="8.83203125" hidden="1" customWidth="1"/>
    <col min="15" max="15" width="17" hidden="1" customWidth="1"/>
    <col min="16" max="21" width="8.83203125" hidden="1" customWidth="1"/>
    <col min="22" max="22" width="3.5" customWidth="1"/>
    <col min="23" max="23" width="6.6640625" customWidth="1"/>
    <col min="24" max="24" width="11.83203125" customWidth="1"/>
    <col min="25" max="25" width="6.83203125" customWidth="1"/>
    <col min="26" max="26" width="5.1640625" customWidth="1"/>
    <col min="27" max="27" width="20.83203125" customWidth="1"/>
    <col min="28" max="28" width="3.33203125" customWidth="1"/>
    <col min="29" max="30" width="5.33203125" customWidth="1"/>
    <col min="31" max="31" width="3.33203125" customWidth="1"/>
    <col min="32" max="32" width="20.83203125" customWidth="1"/>
    <col min="33" max="33" width="3.5" customWidth="1"/>
    <col min="34" max="34" width="5.1640625" style="187" customWidth="1"/>
    <col min="35" max="35" width="3.33203125" style="187" customWidth="1"/>
    <col min="36" max="36" width="4.33203125" customWidth="1"/>
    <col min="37" max="37" width="3.33203125" customWidth="1"/>
    <col min="38" max="38" width="20.83203125" customWidth="1"/>
    <col min="39" max="39" width="5.83203125" customWidth="1"/>
    <col min="40" max="43" width="4.33203125" customWidth="1"/>
    <col min="44" max="45" width="4.6640625" customWidth="1"/>
    <col min="46" max="46" width="4.83203125" customWidth="1"/>
    <col min="47" max="47" width="3.33203125" style="190" customWidth="1"/>
    <col min="48" max="48" width="18.5" style="194" customWidth="1"/>
    <col min="49" max="49" width="3.5" style="7" customWidth="1"/>
    <col min="50" max="50" width="3.5" style="4" customWidth="1"/>
    <col min="51" max="51" width="19.6640625" style="15" customWidth="1"/>
    <col min="52" max="52" width="15.83203125" style="7" customWidth="1"/>
    <col min="53" max="53" width="3" customWidth="1"/>
    <col min="54" max="54" width="11" hidden="1" customWidth="1"/>
    <col min="55" max="55" width="6" hidden="1" customWidth="1"/>
    <col min="56" max="56" width="17" hidden="1" customWidth="1"/>
    <col min="57" max="57" width="9.33203125" hidden="1" customWidth="1"/>
    <col min="58" max="58" width="2.1640625" hidden="1" customWidth="1"/>
    <col min="59" max="59" width="8.33203125" hidden="1" customWidth="1"/>
    <col min="60" max="60" width="2.1640625" hidden="1" customWidth="1"/>
    <col min="61" max="61" width="2.5" hidden="1" customWidth="1"/>
    <col min="62" max="62" width="8.1640625" hidden="1" customWidth="1"/>
    <col min="63" max="63" width="4.83203125" hidden="1" customWidth="1"/>
    <col min="64" max="64" width="5.83203125" hidden="1" customWidth="1"/>
    <col min="65" max="66" width="5.6640625" hidden="1" customWidth="1"/>
    <col min="67" max="69" width="10" hidden="1" customWidth="1"/>
    <col min="70" max="71" width="7.33203125" hidden="1" customWidth="1"/>
    <col min="72" max="100" width="8" hidden="1" customWidth="1"/>
    <col min="101" max="101" width="4.1640625" hidden="1" customWidth="1"/>
    <col min="102" max="102" width="7.33203125" hidden="1" customWidth="1"/>
    <col min="103" max="103" width="0" hidden="1" customWidth="1"/>
    <col min="104" max="104" width="3.1640625" hidden="1" customWidth="1"/>
    <col min="105" max="105" width="8.6640625" hidden="1" customWidth="1"/>
    <col min="106" max="106" width="8" hidden="1" customWidth="1"/>
    <col min="107" max="107" width="15.83203125" hidden="1" customWidth="1"/>
    <col min="108" max="108" width="11" hidden="1" customWidth="1"/>
    <col min="109" max="109" width="2.6640625" hidden="1" customWidth="1"/>
    <col min="110" max="112" width="11" hidden="1" customWidth="1"/>
    <col min="113" max="113" width="0" hidden="1" customWidth="1"/>
    <col min="114" max="116" width="11" hidden="1" customWidth="1"/>
    <col min="117" max="117" width="0" hidden="1" customWidth="1"/>
    <col min="118" max="118" width="17.83203125" hidden="1" customWidth="1"/>
    <col min="119" max="119" width="10.83203125" hidden="1" customWidth="1"/>
    <col min="120" max="120" width="11" hidden="1" customWidth="1"/>
    <col min="121" max="123" width="10.83203125" hidden="1" customWidth="1"/>
    <col min="124" max="124" width="0" hidden="1" customWidth="1"/>
    <col min="125" max="16384" width="10.83203125" hidden="1"/>
  </cols>
  <sheetData>
    <row r="1" spans="1:121" ht="30" customHeight="1" thickBot="1" x14ac:dyDescent="0.25">
      <c r="A1" s="16"/>
      <c r="B1" s="16"/>
      <c r="C1" s="16"/>
      <c r="D1" s="16"/>
      <c r="E1" s="16"/>
      <c r="F1" s="16"/>
      <c r="G1" s="16"/>
      <c r="H1" s="16"/>
      <c r="I1" s="16"/>
      <c r="J1" s="16"/>
      <c r="K1" s="16"/>
      <c r="L1" s="16"/>
      <c r="M1" s="16"/>
      <c r="N1" s="16"/>
      <c r="O1" s="16"/>
      <c r="P1" s="16"/>
      <c r="Q1" s="16"/>
      <c r="R1" s="16"/>
      <c r="S1" s="16"/>
      <c r="T1" s="16"/>
      <c r="U1" s="16"/>
      <c r="V1" s="287"/>
      <c r="W1" s="642" t="str">
        <f>Idiomas!D8</f>
        <v>XXIII World Cup USA/MEX/CAN 2026</v>
      </c>
      <c r="X1" s="642"/>
      <c r="Y1" s="642"/>
      <c r="Z1" s="642"/>
      <c r="AA1" s="642"/>
      <c r="AB1" s="642"/>
      <c r="AC1" s="642"/>
      <c r="AD1" s="642"/>
      <c r="AE1" s="642"/>
      <c r="AF1" s="642"/>
      <c r="AG1" s="144"/>
      <c r="AH1" s="180"/>
      <c r="AI1" s="180"/>
      <c r="AJ1" s="144"/>
      <c r="AK1" s="144"/>
      <c r="AL1" s="294" t="str">
        <f>HYPERLINK(Idiomas!D10,Idiomas!D9)</f>
        <v>▼ Download Administrator Excel File ▼</v>
      </c>
      <c r="AM1" s="144"/>
      <c r="AN1" s="144"/>
      <c r="AO1" s="144"/>
      <c r="AP1" s="144"/>
      <c r="AQ1" s="144"/>
      <c r="AR1" s="144"/>
      <c r="AS1" s="144"/>
      <c r="AT1" s="144"/>
      <c r="AU1" s="332"/>
      <c r="AV1" s="295" t="s">
        <v>1350</v>
      </c>
      <c r="AW1" s="144"/>
      <c r="AX1" s="144"/>
      <c r="AY1" s="144"/>
      <c r="AZ1" s="144"/>
      <c r="BA1" s="176"/>
      <c r="DN1" s="16" t="s">
        <v>1357</v>
      </c>
    </row>
    <row r="2" spans="1:121" ht="10" customHeight="1" thickBot="1" x14ac:dyDescent="0.25">
      <c r="A2" s="16"/>
      <c r="B2" s="16"/>
      <c r="C2" s="16"/>
      <c r="D2" s="16"/>
      <c r="E2" s="16"/>
      <c r="F2" s="16"/>
      <c r="G2" s="16"/>
      <c r="H2" s="16"/>
      <c r="I2" s="16"/>
      <c r="J2" s="16"/>
      <c r="K2" s="16"/>
      <c r="L2" s="16"/>
      <c r="M2" s="16"/>
      <c r="N2" s="16"/>
      <c r="O2" s="16"/>
      <c r="P2" s="16"/>
      <c r="Q2" s="16"/>
      <c r="R2" s="16"/>
      <c r="S2" s="16"/>
      <c r="T2" s="16"/>
      <c r="U2" s="16"/>
      <c r="V2" s="17"/>
      <c r="W2" s="145"/>
      <c r="X2" s="145"/>
      <c r="Y2" s="144"/>
      <c r="Z2" s="145"/>
      <c r="AA2" s="146"/>
      <c r="AB2" s="145"/>
      <c r="AC2" s="146"/>
      <c r="AD2" s="146"/>
      <c r="AE2" s="146"/>
      <c r="AF2" s="146"/>
      <c r="AG2" s="147"/>
      <c r="AH2" s="179"/>
      <c r="AI2" s="179"/>
      <c r="AJ2" s="147"/>
      <c r="AK2" s="147"/>
      <c r="AL2" s="147"/>
      <c r="AM2" s="147"/>
      <c r="AN2" s="147"/>
      <c r="AO2" s="147"/>
      <c r="AP2" s="147"/>
      <c r="AQ2" s="147"/>
      <c r="AR2" s="147"/>
      <c r="AS2" s="147"/>
      <c r="AT2" s="147"/>
      <c r="AU2" s="188"/>
      <c r="AV2" s="188"/>
      <c r="AW2" s="149"/>
      <c r="AX2" s="149"/>
      <c r="AY2" s="150"/>
      <c r="AZ2" s="148"/>
      <c r="BA2" s="176"/>
    </row>
    <row r="3" spans="1:121" ht="16" customHeight="1" thickBot="1" x14ac:dyDescent="0.25">
      <c r="A3" s="16"/>
      <c r="B3" s="16"/>
      <c r="C3" s="16"/>
      <c r="D3" s="16" t="s">
        <v>1212</v>
      </c>
      <c r="E3" s="16" t="s">
        <v>647</v>
      </c>
      <c r="F3" s="16" t="s">
        <v>648</v>
      </c>
      <c r="G3" s="16"/>
      <c r="H3" s="16" t="s">
        <v>649</v>
      </c>
      <c r="I3" s="16" t="s">
        <v>650</v>
      </c>
      <c r="J3" s="16"/>
      <c r="K3" s="16" t="s">
        <v>654</v>
      </c>
      <c r="L3" s="16" t="s">
        <v>655</v>
      </c>
      <c r="M3" s="16"/>
      <c r="N3" s="16" t="s">
        <v>1222</v>
      </c>
      <c r="O3" s="16" t="s">
        <v>1223</v>
      </c>
      <c r="P3" s="16"/>
      <c r="Q3" s="16" t="s">
        <v>1224</v>
      </c>
      <c r="R3" s="16" t="s">
        <v>1225</v>
      </c>
      <c r="S3" s="16"/>
      <c r="T3" s="16" t="s">
        <v>1226</v>
      </c>
      <c r="U3" s="16" t="s">
        <v>1227</v>
      </c>
      <c r="V3" s="17"/>
      <c r="W3" s="8"/>
      <c r="X3" s="69" t="str">
        <f>Idiomas!D17</f>
        <v>Date</v>
      </c>
      <c r="Y3" s="69" t="str">
        <f>Idiomas!D18</f>
        <v>Hour</v>
      </c>
      <c r="Z3" s="55" t="str">
        <f>Idiomas!D19</f>
        <v>R</v>
      </c>
      <c r="AA3" s="57" t="str">
        <f>Idiomas!D20</f>
        <v>Home</v>
      </c>
      <c r="AB3" s="56"/>
      <c r="AC3" s="55" t="str">
        <f>Idiomas!D21</f>
        <v>Goal</v>
      </c>
      <c r="AD3" s="55" t="str">
        <f>Idiomas!D21</f>
        <v>Goal</v>
      </c>
      <c r="AE3" s="56"/>
      <c r="AF3" s="58" t="str">
        <f>Idiomas!D22</f>
        <v>Away</v>
      </c>
      <c r="AG3" s="147"/>
      <c r="AH3" s="179"/>
      <c r="AI3" s="179"/>
      <c r="AJ3" s="179" t="str">
        <f>Idiomas!D23</f>
        <v>Group</v>
      </c>
      <c r="AK3" s="177"/>
      <c r="AL3" s="162"/>
      <c r="AM3" s="162"/>
      <c r="AN3" s="162"/>
      <c r="AO3" s="162"/>
      <c r="AP3" s="162"/>
      <c r="AQ3" s="162"/>
      <c r="AR3" s="162"/>
      <c r="AS3" s="162"/>
      <c r="AT3" s="162"/>
      <c r="AU3" s="188"/>
      <c r="AV3" s="191" t="str">
        <f>Idiomas!D24</f>
        <v>IT'S A DRAW! Choose the order of the Nations to determine their rankings.</v>
      </c>
      <c r="AW3" s="165"/>
      <c r="AX3" s="165"/>
      <c r="AY3" s="397" t="str">
        <f>Idiomas!D72</f>
        <v>Are there penalized teams?</v>
      </c>
      <c r="AZ3" s="396" t="s">
        <v>1233</v>
      </c>
      <c r="BA3" s="176"/>
    </row>
    <row r="4" spans="1:121" ht="16" customHeight="1" thickBot="1" x14ac:dyDescent="0.25">
      <c r="A4" s="16" t="s">
        <v>32</v>
      </c>
      <c r="B4" s="16" t="s">
        <v>0</v>
      </c>
      <c r="C4" s="16">
        <f>COUNTIF(Equipos!$C$2:$C$49,WORLDCUP!B4)</f>
        <v>4</v>
      </c>
      <c r="D4" s="16" t="str">
        <f t="shared" ref="D4:D9" si="0">IF(OR(AC4="",AD4=""),"Pendiente",IF(AC4&gt;AD4,"Local",IF(AC4&lt;AD4,"Visitante","Empate")))</f>
        <v>Pendiente</v>
      </c>
      <c r="E4" s="16" t="str">
        <f t="shared" ref="E4:E9" si="1">IF(D4="Pendiente","-",INDEX($BT$6:$BT$53,MATCH($AA4,$BD$6:$BD$53,0)))</f>
        <v>-</v>
      </c>
      <c r="F4" s="16" t="str">
        <f t="shared" ref="F4:F9" si="2">IF(D4="Pendiente","-",INDEX($BT$6:$BT$53,MATCH($AF4,$BD$6:$BD$53,0)))</f>
        <v>-</v>
      </c>
      <c r="G4" s="16"/>
      <c r="H4" s="16" t="str">
        <f t="shared" ref="H4:H9" si="3">IF(D4="Pendiente","-",INDEX($BZ$6:$BZ$53,MATCH($AA4,$BD$6:$BD$53,0)))</f>
        <v>-</v>
      </c>
      <c r="I4" s="16" t="str">
        <f t="shared" ref="I4:I9" si="4">IF(D4="Pendiente","-",INDEX($BZ$6:$BZ$53,MATCH($AF4,$BD$6:$BD$53,0)))</f>
        <v>-</v>
      </c>
      <c r="J4" s="16"/>
      <c r="K4" s="16" t="str">
        <f t="shared" ref="K4:K9" si="5">IF(D4="Pendiente","-",INDEX($CE$6:$CE$53,MATCH($AA4,$BD$6:$BD$53,0)))</f>
        <v>-</v>
      </c>
      <c r="L4" s="16" t="str">
        <f t="shared" ref="L4:L9" si="6">IF(D4="Pendiente","-",INDEX($CE$6:$CE$53,MATCH($AF4,$BD$6:$BD$53,0)))</f>
        <v>-</v>
      </c>
      <c r="M4" s="16"/>
      <c r="N4" s="16" t="str">
        <f t="shared" ref="N4:N9" si="7">IF(D4="Pendiente","-",INDEX($CH$6:$CH$53,MATCH($AA4,$BD$6:$BD$53,0)))</f>
        <v>-</v>
      </c>
      <c r="O4" s="16" t="str">
        <f t="shared" ref="O4:O9" si="8">IF(D4="Pendiente","-",INDEX($CH$6:$CH$53,MATCH($AF4,$BD$6:$BD$53,0)))</f>
        <v>-</v>
      </c>
      <c r="P4" s="16"/>
      <c r="Q4" s="16" t="str">
        <f t="shared" ref="Q4:Q9" si="9">IF(D4="Pendiente","-",INDEX($CN$6:$CN$53,MATCH($AA4,$BD$6:$BD$53,0)))</f>
        <v>-</v>
      </c>
      <c r="R4" s="16" t="str">
        <f t="shared" ref="R4:R9" si="10">IF(D4="Pendiente","-",INDEX($CN$6:$CN$53,MATCH($AF4,$BD$6:$BD$53,0)))</f>
        <v>-</v>
      </c>
      <c r="S4" s="16"/>
      <c r="T4" s="16" t="str">
        <f t="shared" ref="T4:T9" si="11">IF(D4="Pendiente","-",INDEX($CS$6:$CS$53,MATCH($AA4,$BD$6:$BD$53,0)))</f>
        <v>-</v>
      </c>
      <c r="U4" s="16" t="str">
        <f t="shared" ref="U4:U9" si="12">IF(D4="Pendiente","-",INDEX($CS$6:$CS$53,MATCH($AF4,$BD$6:$BD$53,0)))</f>
        <v>-</v>
      </c>
      <c r="V4" s="17"/>
      <c r="W4" s="638" t="s">
        <v>0</v>
      </c>
      <c r="X4" s="24">
        <f ca="1">Horarios!C4</f>
        <v>46184.625</v>
      </c>
      <c r="Y4" s="25">
        <f ca="1">Horarios!C4</f>
        <v>46184.625</v>
      </c>
      <c r="Z4" s="26" t="str">
        <f>Idiomas!D61</f>
        <v>R1</v>
      </c>
      <c r="AA4" s="27" t="str">
        <f ca="1">+A5</f>
        <v>Mexico</v>
      </c>
      <c r="AB4" s="49" t="str" cm="1">
        <f t="array" aca="1" ref="AB4" ca="1">Ver_flag_local</f>
        <v>🇲🇽</v>
      </c>
      <c r="AC4" s="50"/>
      <c r="AD4" s="51"/>
      <c r="AE4" s="595" t="str" cm="1">
        <f t="array" aca="1" ref="AE4" ca="1">Ver_flag_visit</f>
        <v>🇿🇦</v>
      </c>
      <c r="AF4" s="32" t="str">
        <f ca="1">A6</f>
        <v>South Africa</v>
      </c>
      <c r="AG4" s="323">
        <f t="shared" ref="AG4:AG9" si="13">IF(NOT(OR(ISBLANK(AC4),ISBLANK(AD4))),1,0)</f>
        <v>0</v>
      </c>
      <c r="AH4" s="195">
        <v>1</v>
      </c>
      <c r="AI4" s="181"/>
      <c r="AJ4" s="59" t="str">
        <f>CONCATENATE(AJ3," ",B4)</f>
        <v>Group A</v>
      </c>
      <c r="AK4" s="60"/>
      <c r="AL4" s="60"/>
      <c r="AM4" s="60"/>
      <c r="AN4" s="60"/>
      <c r="AO4" s="60"/>
      <c r="AP4" s="60"/>
      <c r="AQ4" s="60"/>
      <c r="AR4" s="60"/>
      <c r="AS4" s="60"/>
      <c r="AT4" s="61"/>
      <c r="AU4" s="188"/>
      <c r="AV4" s="286" t="str">
        <f ca="1">IF(AU5&gt;0,$AV$3,"")</f>
        <v/>
      </c>
      <c r="AW4" s="168"/>
      <c r="AX4" s="168"/>
      <c r="AY4" s="178"/>
      <c r="AZ4" s="178"/>
      <c r="BA4" s="176"/>
      <c r="DC4" s="16" t="s">
        <v>1497</v>
      </c>
    </row>
    <row r="5" spans="1:121" ht="16" customHeight="1" x14ac:dyDescent="0.2">
      <c r="A5" s="16" t="str">
        <f ca="1">+Equipos!B2</f>
        <v>Mexico</v>
      </c>
      <c r="B5" s="16"/>
      <c r="C5" s="16"/>
      <c r="D5" s="16" t="str">
        <f t="shared" si="0"/>
        <v>Pendiente</v>
      </c>
      <c r="E5" s="16" t="str">
        <f t="shared" si="1"/>
        <v>-</v>
      </c>
      <c r="F5" s="16" t="str">
        <f t="shared" si="2"/>
        <v>-</v>
      </c>
      <c r="G5" s="16"/>
      <c r="H5" s="16" t="str">
        <f t="shared" si="3"/>
        <v>-</v>
      </c>
      <c r="I5" s="16" t="str">
        <f t="shared" si="4"/>
        <v>-</v>
      </c>
      <c r="J5" s="16"/>
      <c r="K5" s="16" t="str">
        <f t="shared" si="5"/>
        <v>-</v>
      </c>
      <c r="L5" s="16" t="str">
        <f t="shared" si="6"/>
        <v>-</v>
      </c>
      <c r="M5" s="16"/>
      <c r="N5" s="16" t="str">
        <f t="shared" si="7"/>
        <v>-</v>
      </c>
      <c r="O5" s="16" t="str">
        <f t="shared" si="8"/>
        <v>-</v>
      </c>
      <c r="P5" s="16"/>
      <c r="Q5" s="16" t="str">
        <f t="shared" si="9"/>
        <v>-</v>
      </c>
      <c r="R5" s="16" t="str">
        <f t="shared" si="10"/>
        <v>-</v>
      </c>
      <c r="S5" s="16"/>
      <c r="T5" s="16" t="str">
        <f t="shared" si="11"/>
        <v>-</v>
      </c>
      <c r="U5" s="16" t="str">
        <f t="shared" si="12"/>
        <v>-</v>
      </c>
      <c r="V5" s="17"/>
      <c r="W5" s="638"/>
      <c r="X5" s="24">
        <f ca="1">Horarios!C5</f>
        <v>46184.916666666664</v>
      </c>
      <c r="Y5" s="25">
        <f ca="1">Horarios!C5</f>
        <v>46184.916666666664</v>
      </c>
      <c r="Z5" s="26" t="str">
        <f>$Z$4</f>
        <v>R1</v>
      </c>
      <c r="AA5" s="27" t="str">
        <f ca="1">A7</f>
        <v>South Korea</v>
      </c>
      <c r="AB5" s="49" t="str" cm="1">
        <f t="array" aca="1" ref="AB5" ca="1">Ver_flag_local</f>
        <v>🇰🇷</v>
      </c>
      <c r="AC5" s="50"/>
      <c r="AD5" s="51"/>
      <c r="AE5" s="595" t="str" cm="1">
        <f t="array" aca="1" ref="AE5" ca="1">Ver_flag_visit</f>
        <v>🇨🇿</v>
      </c>
      <c r="AF5" s="32" t="str">
        <f ca="1">A8</f>
        <v>Czech Republic</v>
      </c>
      <c r="AG5" s="323">
        <f t="shared" si="13"/>
        <v>0</v>
      </c>
      <c r="AH5" s="195">
        <v>2</v>
      </c>
      <c r="AI5" s="181"/>
      <c r="AJ5" s="62" t="str">
        <f>Idiomas!D51</f>
        <v>Pos</v>
      </c>
      <c r="AK5" s="63"/>
      <c r="AL5" s="64" t="str">
        <f>Idiomas!D52</f>
        <v>Nation</v>
      </c>
      <c r="AM5" s="63" t="str">
        <f>Idiomas!D53</f>
        <v>Pts</v>
      </c>
      <c r="AN5" s="63" t="str">
        <f>Idiomas!D54</f>
        <v>P</v>
      </c>
      <c r="AO5" s="63" t="str">
        <f>Idiomas!D55</f>
        <v>W</v>
      </c>
      <c r="AP5" s="63" t="str">
        <f>Idiomas!D56</f>
        <v>D</v>
      </c>
      <c r="AQ5" s="63" t="str">
        <f>Idiomas!D57</f>
        <v>L</v>
      </c>
      <c r="AR5" s="63" t="str">
        <f>Idiomas!D58</f>
        <v>F</v>
      </c>
      <c r="AS5" s="63" t="str">
        <f>Idiomas!D59</f>
        <v>A</v>
      </c>
      <c r="AT5" s="65" t="str">
        <f>Idiomas!D60</f>
        <v>GD</v>
      </c>
      <c r="AU5" s="188">
        <f ca="1">COUNTIF(AU6:AU9,"&gt;1")</f>
        <v>0</v>
      </c>
      <c r="AV5" s="192"/>
      <c r="AW5" s="168"/>
      <c r="AX5" s="168"/>
      <c r="AY5" s="207" t="str">
        <f>AL5</f>
        <v>Nation</v>
      </c>
      <c r="AZ5" s="208" t="str">
        <f>+Idiomas!$D$67</f>
        <v>Deducted Points</v>
      </c>
      <c r="BA5" s="176"/>
      <c r="BC5" s="16" t="str">
        <f>Idiomas!D23</f>
        <v>Group</v>
      </c>
      <c r="BD5" s="16" t="str">
        <f>Idiomas!D52</f>
        <v>Nation</v>
      </c>
      <c r="BE5" s="16" t="str">
        <f t="shared" ref="BE5:BL5" si="14">+AM5</f>
        <v>Pts</v>
      </c>
      <c r="BF5" s="16" t="str">
        <f t="shared" si="14"/>
        <v>P</v>
      </c>
      <c r="BG5" s="16" t="str">
        <f t="shared" si="14"/>
        <v>W</v>
      </c>
      <c r="BH5" s="16" t="str">
        <f t="shared" si="14"/>
        <v>D</v>
      </c>
      <c r="BI5" s="16" t="str">
        <f t="shared" si="14"/>
        <v>L</v>
      </c>
      <c r="BJ5" s="16" t="str">
        <f t="shared" si="14"/>
        <v>F</v>
      </c>
      <c r="BK5" s="16" t="str">
        <f t="shared" si="14"/>
        <v>A</v>
      </c>
      <c r="BL5" s="16" t="str">
        <f t="shared" si="14"/>
        <v>GD</v>
      </c>
      <c r="BM5" s="16" t="s">
        <v>623</v>
      </c>
      <c r="BN5" s="16" t="s">
        <v>624</v>
      </c>
      <c r="BO5" s="16" t="s">
        <v>1494</v>
      </c>
      <c r="BP5" s="16" t="s">
        <v>1495</v>
      </c>
      <c r="BQ5" s="16" t="s">
        <v>1496</v>
      </c>
      <c r="BR5" s="16" t="s">
        <v>625</v>
      </c>
      <c r="BS5" s="16" t="s">
        <v>628</v>
      </c>
      <c r="BT5" s="16" t="s">
        <v>626</v>
      </c>
      <c r="BU5" s="16" t="s">
        <v>643</v>
      </c>
      <c r="BV5" s="16" t="s">
        <v>644</v>
      </c>
      <c r="BW5" s="16" t="s">
        <v>645</v>
      </c>
      <c r="BX5" s="16" t="s">
        <v>646</v>
      </c>
      <c r="BY5" s="16" t="s">
        <v>629</v>
      </c>
      <c r="BZ5" s="16" t="s">
        <v>627</v>
      </c>
      <c r="CA5" s="16" t="s">
        <v>651</v>
      </c>
      <c r="CB5" s="16" t="s">
        <v>652</v>
      </c>
      <c r="CC5" s="16" t="s">
        <v>653</v>
      </c>
      <c r="CD5" s="16" t="s">
        <v>630</v>
      </c>
      <c r="CE5" s="16" t="s">
        <v>631</v>
      </c>
      <c r="CF5" s="16" t="s">
        <v>651</v>
      </c>
      <c r="CG5" s="16" t="s">
        <v>632</v>
      </c>
      <c r="CH5" s="16" t="s">
        <v>633</v>
      </c>
      <c r="CI5" s="16" t="s">
        <v>1216</v>
      </c>
      <c r="CJ5" s="16" t="s">
        <v>1217</v>
      </c>
      <c r="CK5" s="16" t="s">
        <v>1218</v>
      </c>
      <c r="CL5" s="16" t="s">
        <v>1219</v>
      </c>
      <c r="CM5" s="16" t="s">
        <v>634</v>
      </c>
      <c r="CN5" s="16" t="s">
        <v>635</v>
      </c>
      <c r="CO5" s="16" t="s">
        <v>1213</v>
      </c>
      <c r="CP5" s="16" t="s">
        <v>1214</v>
      </c>
      <c r="CQ5" s="16" t="s">
        <v>1215</v>
      </c>
      <c r="CR5" s="16" t="s">
        <v>636</v>
      </c>
      <c r="CS5" s="16" t="s">
        <v>637</v>
      </c>
      <c r="CT5" s="16" t="s">
        <v>1213</v>
      </c>
      <c r="CU5" s="16" t="s">
        <v>1220</v>
      </c>
      <c r="CV5" s="16" t="s">
        <v>1221</v>
      </c>
      <c r="CW5" s="16" t="s">
        <v>68</v>
      </c>
      <c r="CX5" s="16" t="s">
        <v>1228</v>
      </c>
      <c r="CY5" s="16" t="s">
        <v>1229</v>
      </c>
      <c r="CZ5" s="16" t="s">
        <v>8</v>
      </c>
      <c r="DA5" s="16" t="s">
        <v>1230</v>
      </c>
      <c r="DB5" s="16" t="s">
        <v>1231</v>
      </c>
      <c r="DC5" s="16" t="s">
        <v>1260</v>
      </c>
      <c r="DD5" s="16" t="s">
        <v>639</v>
      </c>
      <c r="DE5" s="16"/>
      <c r="DF5" s="16" t="s">
        <v>640</v>
      </c>
      <c r="DG5" s="16" t="s">
        <v>641</v>
      </c>
      <c r="DH5" s="16" t="s">
        <v>642</v>
      </c>
      <c r="DI5" s="16"/>
      <c r="DJ5" s="16" t="s">
        <v>663</v>
      </c>
      <c r="DK5" s="16" t="s">
        <v>1206</v>
      </c>
      <c r="DL5" s="16" t="s">
        <v>664</v>
      </c>
      <c r="DM5" s="16" t="s">
        <v>665</v>
      </c>
      <c r="DN5" s="16" t="s">
        <v>666</v>
      </c>
      <c r="DO5" s="16"/>
      <c r="DP5" s="16" t="s">
        <v>773</v>
      </c>
      <c r="DQ5" s="16" t="s">
        <v>774</v>
      </c>
    </row>
    <row r="6" spans="1:121" ht="16" customHeight="1" x14ac:dyDescent="0.2">
      <c r="A6" s="16" t="str">
        <f ca="1">+Equipos!B3</f>
        <v>South Africa</v>
      </c>
      <c r="B6" s="16"/>
      <c r="C6" s="16"/>
      <c r="D6" s="16" t="str">
        <f t="shared" si="0"/>
        <v>Pendiente</v>
      </c>
      <c r="E6" s="16" t="str">
        <f t="shared" si="1"/>
        <v>-</v>
      </c>
      <c r="F6" s="16" t="str">
        <f t="shared" si="2"/>
        <v>-</v>
      </c>
      <c r="G6" s="16"/>
      <c r="H6" s="16" t="str">
        <f t="shared" si="3"/>
        <v>-</v>
      </c>
      <c r="I6" s="16" t="str">
        <f t="shared" si="4"/>
        <v>-</v>
      </c>
      <c r="J6" s="16"/>
      <c r="K6" s="16" t="str">
        <f t="shared" si="5"/>
        <v>-</v>
      </c>
      <c r="L6" s="16" t="str">
        <f t="shared" si="6"/>
        <v>-</v>
      </c>
      <c r="M6" s="16"/>
      <c r="N6" s="16" t="str">
        <f t="shared" si="7"/>
        <v>-</v>
      </c>
      <c r="O6" s="16" t="str">
        <f t="shared" si="8"/>
        <v>-</v>
      </c>
      <c r="P6" s="16"/>
      <c r="Q6" s="16" t="str">
        <f t="shared" si="9"/>
        <v>-</v>
      </c>
      <c r="R6" s="16" t="str">
        <f t="shared" si="10"/>
        <v>-</v>
      </c>
      <c r="S6" s="16"/>
      <c r="T6" s="16" t="str">
        <f t="shared" si="11"/>
        <v>-</v>
      </c>
      <c r="U6" s="16" t="str">
        <f t="shared" si="12"/>
        <v>-</v>
      </c>
      <c r="V6" s="17"/>
      <c r="W6" s="638"/>
      <c r="X6" s="24">
        <f ca="1">Horarios!C6</f>
        <v>46191.5</v>
      </c>
      <c r="Y6" s="25">
        <f ca="1">Horarios!C6</f>
        <v>46191.5</v>
      </c>
      <c r="Z6" s="26" t="str">
        <f>Idiomas!D62</f>
        <v>R2</v>
      </c>
      <c r="AA6" s="27" t="str">
        <f ca="1">A8</f>
        <v>Czech Republic</v>
      </c>
      <c r="AB6" s="49" t="str" cm="1">
        <f t="array" aca="1" ref="AB6" ca="1">Ver_flag_local</f>
        <v>🇨🇿</v>
      </c>
      <c r="AC6" s="50"/>
      <c r="AD6" s="51"/>
      <c r="AE6" s="595" t="str" cm="1">
        <f t="array" aca="1" ref="AE6" ca="1">Ver_flag_visit</f>
        <v>🇿🇦</v>
      </c>
      <c r="AF6" s="32" t="str">
        <f ca="1">A6</f>
        <v>South Africa</v>
      </c>
      <c r="AG6" s="323">
        <f t="shared" si="13"/>
        <v>0</v>
      </c>
      <c r="AH6" s="195">
        <v>25</v>
      </c>
      <c r="AI6" s="181" t="str">
        <f>AJ6&amp;$B$4</f>
        <v>1A</v>
      </c>
      <c r="AJ6" s="40">
        <v>1</v>
      </c>
      <c r="AK6" s="597" t="str" cm="1">
        <f t="array" aca="1" ref="AK6" ca="1">Ver_flag_visit</f>
        <v>🇲🇽</v>
      </c>
      <c r="AL6" s="34" t="str">
        <f ca="1">IFERROR(INDEX($BD$6:$BD$53,MATCH(AI6,$BN$6:$BN$53,0)),"")</f>
        <v>Mexico</v>
      </c>
      <c r="AM6" s="35">
        <f t="shared" ref="AM6:AT9" ca="1" si="15">INDEX($BE$6:$BN$53,MATCH($AL6,$BD$6:$BD$53,0),MATCH(AM$5,$BE$5:$BN$5,0))</f>
        <v>0</v>
      </c>
      <c r="AN6" s="36">
        <f t="shared" ca="1" si="15"/>
        <v>0</v>
      </c>
      <c r="AO6" s="36">
        <f t="shared" ca="1" si="15"/>
        <v>0</v>
      </c>
      <c r="AP6" s="36">
        <f t="shared" ca="1" si="15"/>
        <v>0</v>
      </c>
      <c r="AQ6" s="36">
        <f t="shared" ca="1" si="15"/>
        <v>0</v>
      </c>
      <c r="AR6" s="36">
        <f t="shared" ca="1" si="15"/>
        <v>0</v>
      </c>
      <c r="AS6" s="36">
        <f t="shared" ca="1" si="15"/>
        <v>0</v>
      </c>
      <c r="AT6" s="41">
        <f t="shared" ca="1" si="15"/>
        <v>0</v>
      </c>
      <c r="AU6" s="330">
        <f ca="1">INDEX($DL$6:$DL$53,MATCH(AI6,$DP$6:$DP$53,0))</f>
        <v>1</v>
      </c>
      <c r="AV6" s="182" t="str">
        <f ca="1">INDEX($BD$6:$BD$53,MATCH(AI6,$BM$6:$BM$53,0))</f>
        <v>Mexico</v>
      </c>
      <c r="AW6" s="210"/>
      <c r="AX6" s="171"/>
      <c r="AY6" s="201" t="str">
        <f ca="1">+A5</f>
        <v>Mexico</v>
      </c>
      <c r="AZ6" s="202"/>
      <c r="BA6" s="176"/>
      <c r="BC6" s="16" t="str">
        <f ca="1">+INDEX(T_Equipos[Grupo],MATCH(WORLDCUP!BD6,T_Equipos[NombreEquipo],0))</f>
        <v>A</v>
      </c>
      <c r="BD6" s="16" t="str">
        <f ca="1">+Equipos!B2</f>
        <v>Mexico</v>
      </c>
      <c r="BE6" s="16">
        <f t="shared" ref="BE6:BE53" ca="1" si="16">+BG6*3+BH6+IF($AZ$3="No",0,INDEX($AZ$6:$AZ$97,MATCH(BD6,$AY$6:$AY$97,0)))</f>
        <v>0</v>
      </c>
      <c r="BF6" s="16">
        <f ca="1">+BG6+BH6+BI6</f>
        <v>0</v>
      </c>
      <c r="BG6" s="16">
        <f t="shared" ref="BG6:BG53" ca="1" si="17">+COUNTIFS(FGLocal,BD6,Ganador,"Local")+COUNTIFS(FGVisitante,BD6,Ganador,"Visitante")</f>
        <v>0</v>
      </c>
      <c r="BH6" s="16">
        <f t="shared" ref="BH6:BH53" ca="1" si="18">+COUNTIFS(FGLocal,BD6,Ganador,"Empate")+COUNTIFS(FGVisitante,BD6,Ganador,"Empate")</f>
        <v>0</v>
      </c>
      <c r="BI6" s="16">
        <f t="shared" ref="BI6:BI53" ca="1" si="19">+COUNTIFS(FGVisitante,BD6,Ganador,"Local")+COUNTIFS(FGLocal,BD6,Ganador,"Visitante")</f>
        <v>0</v>
      </c>
      <c r="BJ6" s="16">
        <f t="shared" ref="BJ6:BJ53" ca="1" si="20">+SUMIFS(FG_GolesLocal,FGLocal,BD6,Ganador,"&lt;&gt;"&amp;"Pendiente",FG_GolesLocal,"&lt;&gt;"&amp;"",FG_GolesVisitante,"&lt;&gt;"&amp;"")+SUMIFS(FG_GolesVisitante,FGVisitante,BD6,Ganador,"&lt;&gt;"&amp;"Pendiente",FG_GolesLocal,"&lt;&gt;"&amp;"",FG_GolesVisitante,"&lt;&gt;"&amp;"")</f>
        <v>0</v>
      </c>
      <c r="BK6" s="16">
        <f t="shared" ref="BK6:BK53" ca="1" si="21">+SUMIFS(FG_GolesLocal,FGVisitante,BD6,Ganador,"&lt;&gt;"&amp;"Pendiente",FG_GolesLocal,"&lt;&gt;"&amp;"",FG_GolesVisitante,"&lt;&gt;"&amp;"")+SUMIFS(FG_GolesVisitante,FGLocal,BD6,Ganador,"&lt;&gt;"&amp;"Pendiente",FG_GolesLocal,"&lt;&gt;"&amp;"",FG_GolesVisitante,"&lt;&gt;"&amp;"")</f>
        <v>0</v>
      </c>
      <c r="BL6" s="16">
        <f ca="1">+BJ6-BK6</f>
        <v>0</v>
      </c>
      <c r="BM6" s="16" t="str">
        <f t="shared" ref="BM6:BM53" ca="1" si="22">DD6&amp;BC6</f>
        <v>1A</v>
      </c>
      <c r="BN6" s="16" t="str">
        <f t="shared" ref="BN6:BN53" ca="1" si="23">DH6&amp;BC6</f>
        <v>1A</v>
      </c>
      <c r="BO6" s="16">
        <f ca="1">IF(AND($AJ$99=144,BF6&gt;=1),1,0)</f>
        <v>0</v>
      </c>
      <c r="BP6" s="16">
        <f ca="1">COUNTIFS($BO$6:$BO$53,"&gt;"&amp;BO6,$BC$6:$BC$53,INDEX(T_Equipos[Grupo],MATCH(BD6,T_Equipos[NombreEquipo],0)))+1</f>
        <v>1</v>
      </c>
      <c r="BQ6" s="16" t="str">
        <f ca="1">IF(COUNTIFS($BP$6:$BP$53,BP6,$BC$6:$BC$53,INDEX(T_Equipos[Grupo],MATCH(BD6,T_Equipos[NombreEquipo],0)))=1,"-","P."&amp;BP6&amp;" ("&amp;COUNTIFS($BP$6:$BP$53,BP6,$BC$6:$BC$53,INDEX(T_Equipos[Grupo],MATCH(BD6,T_Equipos[NombreEquipo],0)))&amp;")")</f>
        <v>P.1 (4)</v>
      </c>
      <c r="BR6" s="16">
        <f ca="1">IF($BQ6="-","-",BE6)</f>
        <v>0</v>
      </c>
      <c r="BS6" s="16">
        <f ca="1">BP6+COUNTIFS($BQ$6:$BQ$53,BQ6,$BR$6:BR$53,"&gt;"&amp;BR6,$BC$6:$BC$53,INDEX(T_Equipos[Grupo],MATCH(BD6,T_Equipos[NombreEquipo],0)))</f>
        <v>1</v>
      </c>
      <c r="BT6" s="16" t="str">
        <f ca="1">IF(COUNTIFS($BS$6:$BS$53,BS6,$BC$6:$BC$53,INDEX(T_Equipos[Grupo],MATCH(BD6,T_Equipos[NombreEquipo],0)))=1,"-","P."&amp;BS6&amp;" ("&amp;COUNTIFS($BS$6:$BS$53,BS6,$BC$6:$BC$53,INDEX(T_Equipos[Grupo],MATCH(BD6,T_Equipos[NombreEquipo],0)))&amp;")")</f>
        <v>P.1 (4)</v>
      </c>
      <c r="BU6" s="16">
        <f t="shared" ref="BU6:BU53" ca="1" si="24">IF($BT6="-","-",COUNTIFS(FGLocal,$BD6,Ganador,"Local",Part1Empate1V,$BT6)+COUNTIFS(FGVisitante,$BD6,Ganador,"Visitante",Part1Empate1L,$BT6))</f>
        <v>0</v>
      </c>
      <c r="BV6" s="16">
        <f t="shared" ref="BV6:BV53" ca="1" si="25">IF($BT6="-","-",COUNTIFS(FGLocal,$BD6,Ganador,"Empate",Part1Empate1V,$BT6)+COUNTIFS(FGVisitante,$BD6,Ganador,"Empate",Part1Empate1L,$BT6))</f>
        <v>0</v>
      </c>
      <c r="BW6" s="16">
        <f t="shared" ref="BW6:BW53" ca="1" si="26">IF($BT6="-","-",COUNTIFS(FGLocal,$BD6,Ganador,"Visitante",Part1Empate1V,$BT6)+COUNTIFS(FGVisitante,$BD6,Ganador,"Local",Part1Empate1L,$BT6))</f>
        <v>0</v>
      </c>
      <c r="BX6" s="16">
        <f ca="1">IF($BT6="-","-",BU6*3+BV6)</f>
        <v>0</v>
      </c>
      <c r="BY6" s="16">
        <f ca="1">BS6+COUNTIFS($BT$6:$BT$53,BT6,$BX$6:BX$53,"&gt;"&amp;BX6,$BC$6:$BC$53,INDEX(T_Equipos[Grupo],MATCH(BD6,T_Equipos[NombreEquipo],0)))</f>
        <v>1</v>
      </c>
      <c r="BZ6" s="16" t="str">
        <f ca="1">IF(COUNTIFS($BY$6:$BY$53,BY6,$BC$6:$BC$53,INDEX(T_Equipos[Grupo],MATCH(BD6,T_Equipos[NombreEquipo],0)))=1,"-","P."&amp;BY6&amp;" ("&amp;COUNTIFS($BY$6:$BY$53,BY6,$BC$6:$BC$53,INDEX(T_Equipos[Grupo],MATCH(BD6,T_Equipos[NombreEquipo],0)))&amp;")")</f>
        <v>P.1 (4)</v>
      </c>
      <c r="CA6" s="16">
        <f t="shared" ref="CA6:CA53" ca="1" si="27">IF($BZ6="-","-",SUMIFS(FG_GolesLocal,FGLocal,$BD6,Part1Empate2V,$BZ6)+SUMIFS(FG_GolesVisitante,FGVisitante,$BD6,Part1Empate2L,$BZ6))</f>
        <v>0</v>
      </c>
      <c r="CB6" s="16">
        <f t="shared" ref="CB6:CB53" ca="1" si="28">IF($BZ6="-","-",SUMIFS(FG_GolesVisitante,FGLocal,$BD6,Part1Empate2V,$BZ6)+SUMIFS(FG_GolesLocal,FGVisitante,$BD6,Part1Empate2L,$BZ6))</f>
        <v>0</v>
      </c>
      <c r="CC6" s="16">
        <f ca="1">IF($BZ6="-","-",CA6-CB6)</f>
        <v>0</v>
      </c>
      <c r="CD6" s="16">
        <f ca="1">BY6+COUNTIFS($BZ$6:$BZ$53,BZ6,$CC$6:CC$53,"&gt;"&amp;CC6,$BC$6:$BC$53,INDEX(T_Equipos[Grupo],MATCH(BD6,T_Equipos[NombreEquipo],0)))</f>
        <v>1</v>
      </c>
      <c r="CE6" s="16" t="str">
        <f ca="1">IF(COUNTIFS($CD$6:$CD$53,CD6,$BC$6:$BC$53,INDEX(T_Equipos[Grupo],MATCH(BD6,T_Equipos[NombreEquipo],0)))=1,"-","P."&amp;CD6&amp;" ("&amp;COUNTIFS($CD$6:$CD$53,CD6,$BC$6:$BC$53,INDEX(T_Equipos[Grupo],MATCH(BD6,T_Equipos[NombreEquipo],0)))&amp;")")</f>
        <v>P.1 (4)</v>
      </c>
      <c r="CF6" s="16">
        <f t="shared" ref="CF6:CF53" ca="1" si="29">IF($CE6="-","-",SUMIFS(FG_GolesLocal,FGLocal,$BD6,Part1Empate3V,$CE6)+SUMIFS(FG_GolesVisitante,FGVisitante,$BD6,Part1Empate3L,$CE6))</f>
        <v>0</v>
      </c>
      <c r="CG6" s="16">
        <f ca="1">CD6+COUNTIFS($CE$6:$CE$53,CE6,$CF$6:CF$53,"&gt;"&amp;CF6,$BC$6:$BC$53,INDEX(T_Equipos[Grupo],MATCH(BD6,T_Equipos[NombreEquipo],0)))</f>
        <v>1</v>
      </c>
      <c r="CH6" s="16" t="str">
        <f ca="1">IF(COUNTIFS($CG$6:$CG$53,CG6,$BC$6:$BC$53,INDEX(T_Equipos[Grupo],MATCH(BD6,T_Equipos[NombreEquipo],0)))=1,"-","P."&amp;CG6&amp;" ("&amp;COUNTIFS($CG$6:$CG$53,CG6,$BC$6:$BC$53,INDEX(T_Equipos[Grupo],MATCH(BD6,T_Equipos[NombreEquipo],0)))&amp;")")</f>
        <v>P.1 (4)</v>
      </c>
      <c r="CI6" s="16">
        <f t="shared" ref="CI6:CI53" ca="1" si="30">IF($CH6="-","-",COUNTIFS(FGLocal,$BD6,Ganador,"Local",Part2Empate4V,$CH6)+COUNTIFS(FGVisitante,$BD6,Ganador,"Visitante",Part2Empate4L,$CH6))</f>
        <v>0</v>
      </c>
      <c r="CJ6" s="16">
        <f t="shared" ref="CJ6:CJ53" ca="1" si="31">IF($CH6="-","-",COUNTIFS(FGLocal,$BD6,Ganador,"Empate",Part2Empate4V,$CH6)+COUNTIFS(FGVisitante,$BD6,Ganador,"Empate",Part2Empate4L,$CH6))</f>
        <v>0</v>
      </c>
      <c r="CK6" s="16">
        <f t="shared" ref="CK6:CK53" ca="1" si="32">IF($CH6="-","-",COUNTIFS(FGLocal,$BD6,Ganador,"Visitante",Part2Empate4V,$CH6)+COUNTIFS(FGVisitante,$BD6,Ganador,"Local",Part2Empate4L,$CH6))</f>
        <v>0</v>
      </c>
      <c r="CL6" s="16">
        <f ca="1">IF($CH6="-","-",CI6*3+CJ6)</f>
        <v>0</v>
      </c>
      <c r="CM6" s="16">
        <f ca="1">CG6+COUNTIFS($CH$6:$CH$53,CH6,$CL$6:CL$53,"&gt;"&amp;CL6,$BC$6:$BC$53,INDEX(T_Equipos[Grupo],MATCH(BD6,T_Equipos[NombreEquipo],0)))</f>
        <v>1</v>
      </c>
      <c r="CN6" s="16" t="str">
        <f ca="1">IF(COUNTIFS($CM$6:$CM$53,CM6,$BC$6:$BC$53,INDEX(T_Equipos[Grupo],MATCH(BD6,T_Equipos[NombreEquipo],0)))=1,"-","P."&amp;CM6&amp;" ("&amp;COUNTIFS($CM$6:$CM$53,CM6,$BC$6:$BC$53,INDEX(T_Equipos[Grupo],MATCH(BD6,T_Equipos[NombreEquipo],0)))&amp;")")</f>
        <v>P.1 (4)</v>
      </c>
      <c r="CO6" s="16">
        <f t="shared" ref="CO6:CO53" ca="1" si="33">IF($CN6="-","-",SUMIFS(FG_GolesLocal,FGLocal,$BD6,Part2Empate5V,$CN6)+SUMIFS(FG_GolesVisitante,FGVisitante,$BD6,Part2Empate5L,$CN6))</f>
        <v>0</v>
      </c>
      <c r="CP6" s="16">
        <f t="shared" ref="CP6:CP53" ca="1" si="34">IF($CN6="-","-",SUMIFS(FG_GolesVisitante,FGLocal,$BD6,Part2Empate5V,$CN6)+SUMIFS(FG_GolesLocal,FGVisitante,$BD6,Part2Empate5L,$CN6))</f>
        <v>0</v>
      </c>
      <c r="CQ6" s="16">
        <f ca="1">IF($CN6="-","-",CO6-CP6)</f>
        <v>0</v>
      </c>
      <c r="CR6" s="16">
        <f ca="1">CM6+COUNTIFS($CN$6:$CN$53,CN6,$CQ$6:CQ$53,"&gt;"&amp;CQ6,$BC$6:$BC$53,INDEX(T_Equipos[Grupo],MATCH(BD6,T_Equipos[NombreEquipo],0)))</f>
        <v>1</v>
      </c>
      <c r="CS6" s="16" t="str">
        <f ca="1">IF(COUNTIFS($CR$6:$CR$53,CR6,$BC$6:$BC$53,INDEX(T_Equipos[Grupo],MATCH(BD6,T_Equipos[NombreEquipo],0)))=1,"-","P."&amp;CR6&amp;" ("&amp;COUNTIFS($CR$6:$CR$53,CR6,$BC$6:$BC$53,INDEX(T_Equipos[Grupo],MATCH(BD6,T_Equipos[NombreEquipo],0)))&amp;")")</f>
        <v>P.1 (4)</v>
      </c>
      <c r="CT6" s="16">
        <f t="shared" ref="CT6:CT53" ca="1" si="35">IF($CS6="-","-",SUMIFS(FG_GolesLocal,FGLocal,$BD6,Part2Empate6V,$CS6)+SUMIFS(FG_GolesVisitante,FGVisitante,$BD6,Part2Empate6L,$CS6))</f>
        <v>0</v>
      </c>
      <c r="CU6" s="16">
        <f ca="1">CR6+COUNTIFS($CS$6:$CS$53,CS6,$CT$6:CT$53,"&gt;"&amp;CT6,$BC$6:$BC$53,INDEX(T_Equipos[Grupo],MATCH(BD6,T_Equipos[NombreEquipo],0)))</f>
        <v>1</v>
      </c>
      <c r="CV6" s="16" t="str">
        <f ca="1">IF(COUNTIFS($CU$6:$CU$53,CU6,$BC$6:$BC$53,INDEX(T_Equipos[Grupo],MATCH(BD6,T_Equipos[NombreEquipo],0)))=1,"-","P."&amp;CU6&amp;" ("&amp;COUNTIFS($CU$6:$CU$53,CU6,$BC$6:$BC$53,INDEX(T_Equipos[Grupo],MATCH(BD6,T_Equipos[NombreEquipo],0)))&amp;")")</f>
        <v>P.1 (4)</v>
      </c>
      <c r="CW6" s="16">
        <f t="shared" ref="CW6:CW53" ca="1" si="36">IF(CV6="-","-",BL6)</f>
        <v>0</v>
      </c>
      <c r="CX6" s="16">
        <f ca="1">CU6+COUNTIFS($CV$6:$CV$53,CV6,$CW$6:CW$53,"&gt;"&amp;CW6,$BC$6:$BC$53,INDEX(T_Equipos[Grupo],MATCH(BD6,T_Equipos[NombreEquipo],0)))</f>
        <v>1</v>
      </c>
      <c r="CY6" s="16" t="str">
        <f ca="1">IF(COUNTIFS($CX$6:$CX$53,CX6,$BC$6:$BC$53,INDEX(T_Equipos[Grupo],MATCH(BD6,T_Equipos[NombreEquipo],0)))=1,"-","P."&amp;CX6&amp;" ("&amp;COUNTIFS($CX$6:$CX$53,CX6,$BC$6:$BC$53,INDEX(T_Equipos[Grupo],MATCH(BD6,T_Equipos[NombreEquipo],0)))&amp;")")</f>
        <v>P.1 (4)</v>
      </c>
      <c r="CZ6" s="16">
        <f t="shared" ref="CZ6:CZ53" ca="1" si="37">IF(CY6="-","-",BJ6)</f>
        <v>0</v>
      </c>
      <c r="DA6" s="16">
        <f ca="1">CX6+COUNTIFS($CY$6:$CY$53,CY6,$CZ$6:CZ$53,"&gt;"&amp;CZ6,$BC$6:$BC$53,INDEX(T_Equipos[Grupo],MATCH(BD6,T_Equipos[NombreEquipo],0)))</f>
        <v>1</v>
      </c>
      <c r="DB6" s="16" t="str">
        <f ca="1">IF(COUNTIFS($DA$6:$DA$53,DA6,$BC$6:$BC$53,INDEX(T_Equipos[Grupo],MATCH(BD6,T_Equipos[NombreEquipo],0)))=1,"-","P."&amp;DA6&amp;" ("&amp;COUNTIFS($DA$6:$DA$53,DA6,$BC$6:$BC$53,INDEX(T_Equipos[Grupo],MATCH(BD6,T_Equipos[NombreEquipo],0)))&amp;")")</f>
        <v>P.1 (4)</v>
      </c>
      <c r="DC6" s="16">
        <f ca="1">IF(DB6="-","-",COUNTIFS(T_Equipos[Rank],"&lt;"&amp;INDEX(T_Equipos[Rank],MATCH(BD6,T_Equipos[NombreEquipo],0)),$BC$6:$BC$53,INDEX(T_Equipos[Grupo],MATCH(BD6,T_Equipos[NombreEquipo],0)))+1)</f>
        <v>1</v>
      </c>
      <c r="DD6" s="16">
        <f ca="1">DA6+COUNTIFS($DB$6:$DB$53,DB6,$DC$6:DC$53,"&lt;"&amp;DC6,$BC$6:$BC$53,INDEX(T_Equipos[Grupo],MATCH(BD6,T_Equipos[NombreEquipo],0)))</f>
        <v>1</v>
      </c>
      <c r="DE6" s="16"/>
      <c r="DF6" s="16">
        <f ca="1">IF(OR(INDEX($AW$6:$AW$97,MATCH($BD6,$AV$6:$AV$97,0))="",DB6="-"),DD6,INDEX($AW$6:$AW$97,MATCH($BD6,$AV$6:$AV$97,0))+DD6/1000)</f>
        <v>1</v>
      </c>
      <c r="DG6" s="16">
        <f ca="1">IF(DB6="-","-",COUNTIFS(DF$6:DF$53,"&lt;"&amp;DF6,$BC$6:$BC$53,INDEX(T_Equipos[Grupo],MATCH(BD6,T_Equipos[NombreEquipo],0))))</f>
        <v>0</v>
      </c>
      <c r="DH6" s="16">
        <f ca="1">DA6+COUNTIFS(DB$6:DB$53,DB6,DG$6:DG$53,"&lt;"&amp;DG6,$BC$6:$BC$53,INDEX(T_Equipos[Grupo],MATCH(BD6,T_Equipos[NombreEquipo],0)))</f>
        <v>1</v>
      </c>
      <c r="DI6" s="16"/>
      <c r="DJ6" s="16">
        <f t="shared" ref="DJ6:DJ53" ca="1" si="38">INDEX($DA$6:$DA$53,MATCH($DQ6,$BD$6:$BD$53,0))</f>
        <v>1</v>
      </c>
      <c r="DK6" s="16">
        <f t="shared" ref="DK6:DK53" ca="1" si="39">+SUMIF($BC$6:$BC$53,BC6,$BF$6:$BF$53)</f>
        <v>0</v>
      </c>
      <c r="DL6" s="16">
        <f t="shared" ref="DL6:DL53" ca="1" si="40">IF(OR(DK6=12,$AJ$99=144),COUNTIFS($DJ$6:$DJ$53,DJ6,$BC$6:$BC$53,BC6),1)</f>
        <v>1</v>
      </c>
      <c r="DM6" s="16" t="str">
        <f ca="1">DJ6&amp;"."&amp;DL6</f>
        <v>1.1</v>
      </c>
      <c r="DN6" s="16" cm="1">
        <f t="array" aca="1" ref="DN6" ca="1">OFFSET(Horarios!$P$3,DJ6-1,0,DL6,1)</f>
        <v>1</v>
      </c>
      <c r="DO6" s="16"/>
      <c r="DP6" s="16" t="s">
        <v>656</v>
      </c>
      <c r="DQ6" s="16" t="str">
        <f ca="1">INDEX($BD$6:$BD$53,MATCH(DP6,$BM$6:$BM$53,0))</f>
        <v>Mexico</v>
      </c>
    </row>
    <row r="7" spans="1:121" ht="16" customHeight="1" x14ac:dyDescent="0.2">
      <c r="A7" s="16" t="str">
        <f ca="1">+Equipos!B4</f>
        <v>South Korea</v>
      </c>
      <c r="B7" s="16"/>
      <c r="C7" s="16"/>
      <c r="D7" s="16" t="str">
        <f t="shared" si="0"/>
        <v>Pendiente</v>
      </c>
      <c r="E7" s="16" t="str">
        <f t="shared" si="1"/>
        <v>-</v>
      </c>
      <c r="F7" s="16" t="str">
        <f t="shared" si="2"/>
        <v>-</v>
      </c>
      <c r="G7" s="16"/>
      <c r="H7" s="16" t="str">
        <f t="shared" si="3"/>
        <v>-</v>
      </c>
      <c r="I7" s="16" t="str">
        <f t="shared" si="4"/>
        <v>-</v>
      </c>
      <c r="J7" s="16"/>
      <c r="K7" s="16" t="str">
        <f t="shared" si="5"/>
        <v>-</v>
      </c>
      <c r="L7" s="16" t="str">
        <f t="shared" si="6"/>
        <v>-</v>
      </c>
      <c r="M7" s="16"/>
      <c r="N7" s="16" t="str">
        <f t="shared" si="7"/>
        <v>-</v>
      </c>
      <c r="O7" s="16" t="str">
        <f t="shared" si="8"/>
        <v>-</v>
      </c>
      <c r="P7" s="16"/>
      <c r="Q7" s="16" t="str">
        <f t="shared" si="9"/>
        <v>-</v>
      </c>
      <c r="R7" s="16" t="str">
        <f t="shared" si="10"/>
        <v>-</v>
      </c>
      <c r="S7" s="16"/>
      <c r="T7" s="16" t="str">
        <f t="shared" si="11"/>
        <v>-</v>
      </c>
      <c r="U7" s="16" t="str">
        <f t="shared" si="12"/>
        <v>-</v>
      </c>
      <c r="V7" s="17"/>
      <c r="W7" s="638"/>
      <c r="X7" s="24">
        <f ca="1">Horarios!C7</f>
        <v>46191.875</v>
      </c>
      <c r="Y7" s="25">
        <f ca="1">Horarios!C7</f>
        <v>46191.875</v>
      </c>
      <c r="Z7" s="26" t="str">
        <f>$Z$6</f>
        <v>R2</v>
      </c>
      <c r="AA7" s="27" t="str">
        <f ca="1">A5</f>
        <v>Mexico</v>
      </c>
      <c r="AB7" s="49" t="str" cm="1">
        <f t="array" aca="1" ref="AB7" ca="1">Ver_flag_local</f>
        <v>🇲🇽</v>
      </c>
      <c r="AC7" s="50"/>
      <c r="AD7" s="51"/>
      <c r="AE7" s="595" t="str" cm="1">
        <f t="array" aca="1" ref="AE7" ca="1">Ver_flag_visit</f>
        <v>🇰🇷</v>
      </c>
      <c r="AF7" s="32" t="str">
        <f ca="1">A7</f>
        <v>South Korea</v>
      </c>
      <c r="AG7" s="323">
        <f t="shared" si="13"/>
        <v>0</v>
      </c>
      <c r="AH7" s="195">
        <v>28</v>
      </c>
      <c r="AI7" s="181" t="str">
        <f>AJ7&amp;$B$4</f>
        <v>2A</v>
      </c>
      <c r="AJ7" s="42">
        <v>2</v>
      </c>
      <c r="AK7" s="598" t="str" cm="1">
        <f t="array" aca="1" ref="AK7" ca="1">Ver_flag_visit</f>
        <v>🇿🇦</v>
      </c>
      <c r="AL7" s="37" t="str">
        <f ca="1">IFERROR(INDEX($BD$6:$BD$53,MATCH(AI7,$BN$6:$BN$53,0)),"")</f>
        <v>South Africa</v>
      </c>
      <c r="AM7" s="38">
        <f t="shared" ca="1" si="15"/>
        <v>0</v>
      </c>
      <c r="AN7" s="39">
        <f t="shared" ca="1" si="15"/>
        <v>0</v>
      </c>
      <c r="AO7" s="39">
        <f t="shared" ca="1" si="15"/>
        <v>0</v>
      </c>
      <c r="AP7" s="39">
        <f t="shared" ca="1" si="15"/>
        <v>0</v>
      </c>
      <c r="AQ7" s="39">
        <f t="shared" ca="1" si="15"/>
        <v>0</v>
      </c>
      <c r="AR7" s="39">
        <f t="shared" ca="1" si="15"/>
        <v>0</v>
      </c>
      <c r="AS7" s="39">
        <f t="shared" ca="1" si="15"/>
        <v>0</v>
      </c>
      <c r="AT7" s="43">
        <f t="shared" ca="1" si="15"/>
        <v>0</v>
      </c>
      <c r="AU7" s="330">
        <f ca="1">INDEX($DL$6:$DL$53,MATCH(AI7,$DP$6:$DP$53,0))</f>
        <v>1</v>
      </c>
      <c r="AV7" s="182" t="str">
        <f ca="1">INDEX($BD$6:$BD$53,MATCH(AI7,$BM$6:$BM$53,0))</f>
        <v>South Africa</v>
      </c>
      <c r="AW7" s="210"/>
      <c r="AX7" s="171"/>
      <c r="AY7" s="203" t="str">
        <f ca="1">+A6</f>
        <v>South Africa</v>
      </c>
      <c r="AZ7" s="204"/>
      <c r="BA7" s="176"/>
      <c r="BC7" s="16" t="str">
        <f ca="1">+INDEX(T_Equipos[Grupo],MATCH(WORLDCUP!BD7,T_Equipos[NombreEquipo],0))</f>
        <v>A</v>
      </c>
      <c r="BD7" s="16" t="str">
        <f ca="1">+Equipos!B3</f>
        <v>South Africa</v>
      </c>
      <c r="BE7" s="16">
        <f t="shared" ca="1" si="16"/>
        <v>0</v>
      </c>
      <c r="BF7" s="16">
        <f t="shared" ref="BF7:BF53" ca="1" si="41">+BG7+BH7+BI7</f>
        <v>0</v>
      </c>
      <c r="BG7" s="16">
        <f t="shared" ca="1" si="17"/>
        <v>0</v>
      </c>
      <c r="BH7" s="16">
        <f t="shared" ca="1" si="18"/>
        <v>0</v>
      </c>
      <c r="BI7" s="16">
        <f t="shared" ca="1" si="19"/>
        <v>0</v>
      </c>
      <c r="BJ7" s="16">
        <f t="shared" ca="1" si="20"/>
        <v>0</v>
      </c>
      <c r="BK7" s="16">
        <f t="shared" ca="1" si="21"/>
        <v>0</v>
      </c>
      <c r="BL7" s="16">
        <f t="shared" ref="BL7:BL53" ca="1" si="42">+BJ7-BK7</f>
        <v>0</v>
      </c>
      <c r="BM7" s="16" t="str">
        <f t="shared" ca="1" si="22"/>
        <v>2A</v>
      </c>
      <c r="BN7" s="16" t="str">
        <f t="shared" ca="1" si="23"/>
        <v>2A</v>
      </c>
      <c r="BO7" s="16">
        <f t="shared" ref="BO7:BO53" ca="1" si="43">IF(AND($AJ$99=144,BF7&gt;=1),1,0)</f>
        <v>0</v>
      </c>
      <c r="BP7" s="16">
        <f ca="1">COUNTIFS($BO$6:$BO$53,"&gt;"&amp;BO7,$BC$6:$BC$53,INDEX(T_Equipos[Grupo],MATCH(BD7,T_Equipos[NombreEquipo],0)))+1</f>
        <v>1</v>
      </c>
      <c r="BQ7" s="16" t="str">
        <f ca="1">IF(COUNTIFS($BP$6:$BP$53,BP7,$BC$6:$BC$53,INDEX(T_Equipos[Grupo],MATCH(BD7,T_Equipos[NombreEquipo],0)))=1,"-","P."&amp;BP7&amp;" ("&amp;COUNTIFS($BP$6:$BP$53,BP7,$BC$6:$BC$53,INDEX(T_Equipos[Grupo],MATCH(BD7,T_Equipos[NombreEquipo],0)))&amp;")")</f>
        <v>P.1 (4)</v>
      </c>
      <c r="BR7" s="16">
        <f t="shared" ref="BR7:BR53" ca="1" si="44">IF($BQ7="-","-",BE7)</f>
        <v>0</v>
      </c>
      <c r="BS7" s="16">
        <f ca="1">BP7+COUNTIFS($BQ$6:$BQ$53,BQ7,$BR$6:BR$53,"&gt;"&amp;BR7,$BC$6:$BC$53,INDEX(T_Equipos[Grupo],MATCH(BD7,T_Equipos[NombreEquipo],0)))</f>
        <v>1</v>
      </c>
      <c r="BT7" s="16" t="str">
        <f ca="1">IF(COUNTIFS($BS$6:$BS$53,BS7,$BC$6:$BC$53,INDEX(T_Equipos[Grupo],MATCH(BD7,T_Equipos[NombreEquipo],0)))=1,"-","P."&amp;BS7&amp;" ("&amp;COUNTIFS($BS$6:$BS$53,BS7,$BC$6:$BC$53,INDEX(T_Equipos[Grupo],MATCH(BD7,T_Equipos[NombreEquipo],0)))&amp;")")</f>
        <v>P.1 (4)</v>
      </c>
      <c r="BU7" s="16">
        <f t="shared" ca="1" si="24"/>
        <v>0</v>
      </c>
      <c r="BV7" s="16">
        <f t="shared" ca="1" si="25"/>
        <v>0</v>
      </c>
      <c r="BW7" s="16">
        <f t="shared" ca="1" si="26"/>
        <v>0</v>
      </c>
      <c r="BX7" s="16">
        <f ca="1">IF($BT7="-","-",BU7*3+BV7)</f>
        <v>0</v>
      </c>
      <c r="BY7" s="16">
        <f ca="1">BS7+COUNTIFS($BT$6:$BT$53,BT7,$BX$6:BX$53,"&gt;"&amp;BX7,$BC$6:$BC$53,INDEX(T_Equipos[Grupo],MATCH(BD7,T_Equipos[NombreEquipo],0)))</f>
        <v>1</v>
      </c>
      <c r="BZ7" s="16" t="str">
        <f ca="1">IF(COUNTIFS($BY$6:$BY$53,BY7,$BC$6:$BC$53,INDEX(T_Equipos[Grupo],MATCH(BD7,T_Equipos[NombreEquipo],0)))=1,"-","P."&amp;BY7&amp;" ("&amp;COUNTIFS($BY$6:$BY$53,BY7,$BC$6:$BC$53,INDEX(T_Equipos[Grupo],MATCH(BD7,T_Equipos[NombreEquipo],0)))&amp;")")</f>
        <v>P.1 (4)</v>
      </c>
      <c r="CA7" s="16">
        <f t="shared" ca="1" si="27"/>
        <v>0</v>
      </c>
      <c r="CB7" s="16">
        <f t="shared" ca="1" si="28"/>
        <v>0</v>
      </c>
      <c r="CC7" s="16">
        <f ca="1">IF($BZ7="-","-",CA7-CB7)</f>
        <v>0</v>
      </c>
      <c r="CD7" s="16">
        <f ca="1">BY7+COUNTIFS($BZ$6:$BZ$53,BZ7,$CC$6:CC$53,"&gt;"&amp;CC7,$BC$6:$BC$53,INDEX(T_Equipos[Grupo],MATCH(BD7,T_Equipos[NombreEquipo],0)))</f>
        <v>1</v>
      </c>
      <c r="CE7" s="16" t="str">
        <f ca="1">IF(COUNTIFS($CD$6:$CD$53,CD7,$BC$6:$BC$53,INDEX(T_Equipos[Grupo],MATCH(BD7,T_Equipos[NombreEquipo],0)))=1,"-","P."&amp;CD7&amp;" ("&amp;COUNTIFS($CD$6:$CD$53,CD7,$BC$6:$BC$53,INDEX(T_Equipos[Grupo],MATCH(BD7,T_Equipos[NombreEquipo],0)))&amp;")")</f>
        <v>P.1 (4)</v>
      </c>
      <c r="CF7" s="16">
        <f t="shared" ca="1" si="29"/>
        <v>0</v>
      </c>
      <c r="CG7" s="16">
        <f ca="1">CD7+COUNTIFS($CE$6:$CE$53,CE7,$CF$6:CF$53,"&gt;"&amp;CF7,$BC$6:$BC$53,INDEX(T_Equipos[Grupo],MATCH(BD7,T_Equipos[NombreEquipo],0)))</f>
        <v>1</v>
      </c>
      <c r="CH7" s="16" t="str">
        <f ca="1">IF(COUNTIFS($CG$6:$CG$53,CG7,$BC$6:$BC$53,INDEX(T_Equipos[Grupo],MATCH(BD7,T_Equipos[NombreEquipo],0)))=1,"-","P."&amp;CG7&amp;" ("&amp;COUNTIFS($CG$6:$CG$53,CG7,$BC$6:$BC$53,INDEX(T_Equipos[Grupo],MATCH(BD7,T_Equipos[NombreEquipo],0)))&amp;")")</f>
        <v>P.1 (4)</v>
      </c>
      <c r="CI7" s="16">
        <f t="shared" ca="1" si="30"/>
        <v>0</v>
      </c>
      <c r="CJ7" s="16">
        <f t="shared" ca="1" si="31"/>
        <v>0</v>
      </c>
      <c r="CK7" s="16">
        <f t="shared" ca="1" si="32"/>
        <v>0</v>
      </c>
      <c r="CL7" s="16">
        <f ca="1">IF($CH7="-","-",CI7*3+CJ7)</f>
        <v>0</v>
      </c>
      <c r="CM7" s="16">
        <f ca="1">CG7+COUNTIFS($CH$6:$CH$53,CH7,$CL$6:CL$53,"&gt;"&amp;CL7,$BC$6:$BC$53,INDEX(T_Equipos[Grupo],MATCH(BD7,T_Equipos[NombreEquipo],0)))</f>
        <v>1</v>
      </c>
      <c r="CN7" s="16" t="str">
        <f ca="1">IF(COUNTIFS($CM$6:$CM$53,CM7,$BC$6:$BC$53,INDEX(T_Equipos[Grupo],MATCH(BD7,T_Equipos[NombreEquipo],0)))=1,"-","P."&amp;CM7&amp;" ("&amp;COUNTIFS($CM$6:$CM$53,CM7,$BC$6:$BC$53,INDEX(T_Equipos[Grupo],MATCH(BD7,T_Equipos[NombreEquipo],0)))&amp;")")</f>
        <v>P.1 (4)</v>
      </c>
      <c r="CO7" s="16">
        <f t="shared" ca="1" si="33"/>
        <v>0</v>
      </c>
      <c r="CP7" s="16">
        <f t="shared" ca="1" si="34"/>
        <v>0</v>
      </c>
      <c r="CQ7" s="16">
        <f ca="1">IF($CN7="-","-",CO7-CP7)</f>
        <v>0</v>
      </c>
      <c r="CR7" s="16">
        <f ca="1">CM7+COUNTIFS($CN$6:$CN$53,CN7,$CQ$6:CQ$53,"&gt;"&amp;CQ7,$BC$6:$BC$53,INDEX(T_Equipos[Grupo],MATCH(BD7,T_Equipos[NombreEquipo],0)))</f>
        <v>1</v>
      </c>
      <c r="CS7" s="16" t="str">
        <f ca="1">IF(COUNTIFS($CR$6:$CR$53,CR7,$BC$6:$BC$53,INDEX(T_Equipos[Grupo],MATCH(BD7,T_Equipos[NombreEquipo],0)))=1,"-","P."&amp;CR7&amp;" ("&amp;COUNTIFS($CR$6:$CR$53,CR7,$BC$6:$BC$53,INDEX(T_Equipos[Grupo],MATCH(BD7,T_Equipos[NombreEquipo],0)))&amp;")")</f>
        <v>P.1 (4)</v>
      </c>
      <c r="CT7" s="16">
        <f t="shared" ca="1" si="35"/>
        <v>0</v>
      </c>
      <c r="CU7" s="16">
        <f ca="1">CR7+COUNTIFS($CS$6:$CS$53,CS7,$CT$6:CT$53,"&gt;"&amp;CT7,$BC$6:$BC$53,INDEX(T_Equipos[Grupo],MATCH(BD7,T_Equipos[NombreEquipo],0)))</f>
        <v>1</v>
      </c>
      <c r="CV7" s="16" t="str">
        <f ca="1">IF(COUNTIFS($CU$6:$CU$53,CU7,$BC$6:$BC$53,INDEX(T_Equipos[Grupo],MATCH(BD7,T_Equipos[NombreEquipo],0)))=1,"-","P."&amp;CU7&amp;" ("&amp;COUNTIFS($CU$6:$CU$53,CU7,$BC$6:$BC$53,INDEX(T_Equipos[Grupo],MATCH(BD7,T_Equipos[NombreEquipo],0)))&amp;")")</f>
        <v>P.1 (4)</v>
      </c>
      <c r="CW7" s="16">
        <f t="shared" ca="1" si="36"/>
        <v>0</v>
      </c>
      <c r="CX7" s="16">
        <f ca="1">CU7+COUNTIFS($CV$6:$CV$53,CV7,$CW$6:CW$53,"&gt;"&amp;CW7,$BC$6:$BC$53,INDEX(T_Equipos[Grupo],MATCH(BD7,T_Equipos[NombreEquipo],0)))</f>
        <v>1</v>
      </c>
      <c r="CY7" s="16" t="str">
        <f ca="1">IF(COUNTIFS($CX$6:$CX$53,CX7,$BC$6:$BC$53,INDEX(T_Equipos[Grupo],MATCH(BD7,T_Equipos[NombreEquipo],0)))=1,"-","P."&amp;CX7&amp;" ("&amp;COUNTIFS($CX$6:$CX$53,CX7,$BC$6:$BC$53,INDEX(T_Equipos[Grupo],MATCH(BD7,T_Equipos[NombreEquipo],0)))&amp;")")</f>
        <v>P.1 (4)</v>
      </c>
      <c r="CZ7" s="16">
        <f t="shared" ca="1" si="37"/>
        <v>0</v>
      </c>
      <c r="DA7" s="16">
        <f ca="1">CX7+COUNTIFS($CY$6:$CY$53,CY7,$CZ$6:CZ$53,"&gt;"&amp;CZ7,$BC$6:$BC$53,INDEX(T_Equipos[Grupo],MATCH(BD7,T_Equipos[NombreEquipo],0)))</f>
        <v>1</v>
      </c>
      <c r="DB7" s="16" t="str">
        <f ca="1">IF(COUNTIFS($DA$6:$DA$53,DA7,$BC$6:$BC$53,INDEX(T_Equipos[Grupo],MATCH(BD7,T_Equipos[NombreEquipo],0)))=1,"-","P."&amp;DA7&amp;" ("&amp;COUNTIFS($DA$6:$DA$53,DA7,$BC$6:$BC$53,INDEX(T_Equipos[Grupo],MATCH(BD7,T_Equipos[NombreEquipo],0)))&amp;")")</f>
        <v>P.1 (4)</v>
      </c>
      <c r="DC7" s="16">
        <f ca="1">IF(DB7="-","-",COUNTIFS(T_Equipos[Rank],"&lt;"&amp;INDEX(T_Equipos[Rank],MATCH(BD7,T_Equipos[NombreEquipo],0)),$BC$6:$BC$53,INDEX(T_Equipos[Grupo],MATCH(BD7,T_Equipos[NombreEquipo],0)))+1)</f>
        <v>2</v>
      </c>
      <c r="DD7" s="16">
        <f ca="1">DA7+COUNTIFS($DB$6:$DB$53,DB7,$DC$6:DC$53,"&lt;"&amp;DC7,$BC$6:$BC$53,INDEX(T_Equipos[Grupo],MATCH(BD7,T_Equipos[NombreEquipo],0)))</f>
        <v>2</v>
      </c>
      <c r="DE7" s="16"/>
      <c r="DF7" s="16">
        <f t="shared" ref="DF7:DF9" ca="1" si="45">IF(OR(INDEX($AW$6:$AW$97,MATCH($BD7,$AV$6:$AV$97,0))="",DB7="-"),DD7,INDEX($AW$6:$AW$97,MATCH($BD7,$AV$6:$AV$97,0))+DD7/1000)</f>
        <v>2</v>
      </c>
      <c r="DG7" s="16">
        <f ca="1">IF(DB7="-","-",COUNTIFS(DF$6:DF$53,"&lt;"&amp;DF7,$BC$6:$BC$53,INDEX(T_Equipos[Grupo],MATCH(BD7,T_Equipos[NombreEquipo],0))))</f>
        <v>1</v>
      </c>
      <c r="DH7" s="16">
        <f ca="1">DA7+COUNTIFS(DB$6:DB$53,DB7,DG$6:DG$53,"&lt;"&amp;DG7,$BC$6:$BC$53,INDEX(T_Equipos[Grupo],MATCH(BD7,T_Equipos[NombreEquipo],0)))</f>
        <v>2</v>
      </c>
      <c r="DI7" s="16"/>
      <c r="DJ7" s="16">
        <f t="shared" ca="1" si="38"/>
        <v>1</v>
      </c>
      <c r="DK7" s="16">
        <f t="shared" ca="1" si="39"/>
        <v>0</v>
      </c>
      <c r="DL7" s="16">
        <f t="shared" ca="1" si="40"/>
        <v>1</v>
      </c>
      <c r="DM7" s="16" t="str">
        <f t="shared" ref="DM7:DM53" ca="1" si="46">DJ7&amp;"."&amp;DL7</f>
        <v>1.1</v>
      </c>
      <c r="DN7" s="16" cm="1">
        <f t="array" aca="1" ref="DN7" ca="1">OFFSET(Horarios!$P$3,DJ7-1,0,DL7,1)</f>
        <v>1</v>
      </c>
      <c r="DO7" s="16"/>
      <c r="DP7" s="16" t="s">
        <v>657</v>
      </c>
      <c r="DQ7" s="16" t="str">
        <f t="shared" ref="DQ7:DQ53" ca="1" si="47">INDEX($BD$6:$BD$53,MATCH(DP7,$BM$6:$BM$53,0))</f>
        <v>South Africa</v>
      </c>
    </row>
    <row r="8" spans="1:121" ht="16" customHeight="1" x14ac:dyDescent="0.2">
      <c r="A8" s="16" t="str">
        <f ca="1">+Equipos!B5</f>
        <v>Czech Republic</v>
      </c>
      <c r="B8" s="16"/>
      <c r="C8" s="16"/>
      <c r="D8" s="16" t="str">
        <f t="shared" si="0"/>
        <v>Pendiente</v>
      </c>
      <c r="E8" s="16" t="str">
        <f t="shared" si="1"/>
        <v>-</v>
      </c>
      <c r="F8" s="16" t="str">
        <f t="shared" si="2"/>
        <v>-</v>
      </c>
      <c r="G8" s="16"/>
      <c r="H8" s="16" t="str">
        <f t="shared" si="3"/>
        <v>-</v>
      </c>
      <c r="I8" s="16" t="str">
        <f t="shared" si="4"/>
        <v>-</v>
      </c>
      <c r="J8" s="16"/>
      <c r="K8" s="16" t="str">
        <f t="shared" si="5"/>
        <v>-</v>
      </c>
      <c r="L8" s="16" t="str">
        <f t="shared" si="6"/>
        <v>-</v>
      </c>
      <c r="M8" s="16"/>
      <c r="N8" s="16" t="str">
        <f t="shared" si="7"/>
        <v>-</v>
      </c>
      <c r="O8" s="16" t="str">
        <f t="shared" si="8"/>
        <v>-</v>
      </c>
      <c r="P8" s="16"/>
      <c r="Q8" s="16" t="str">
        <f t="shared" si="9"/>
        <v>-</v>
      </c>
      <c r="R8" s="16" t="str">
        <f t="shared" si="10"/>
        <v>-</v>
      </c>
      <c r="S8" s="16"/>
      <c r="T8" s="16" t="str">
        <f t="shared" si="11"/>
        <v>-</v>
      </c>
      <c r="U8" s="16" t="str">
        <f t="shared" si="12"/>
        <v>-</v>
      </c>
      <c r="V8" s="17"/>
      <c r="W8" s="638"/>
      <c r="X8" s="24">
        <f ca="1">Horarios!C8</f>
        <v>46197.875</v>
      </c>
      <c r="Y8" s="25">
        <f ca="1">Horarios!C8</f>
        <v>46197.875</v>
      </c>
      <c r="Z8" s="26" t="str">
        <f>Idiomas!D63</f>
        <v>R3</v>
      </c>
      <c r="AA8" s="27" t="str">
        <f ca="1">A8</f>
        <v>Czech Republic</v>
      </c>
      <c r="AB8" s="49" t="str" cm="1">
        <f t="array" aca="1" ref="AB8" ca="1">Ver_flag_local</f>
        <v>🇨🇿</v>
      </c>
      <c r="AC8" s="50"/>
      <c r="AD8" s="51"/>
      <c r="AE8" s="595" t="str" cm="1">
        <f t="array" aca="1" ref="AE8" ca="1">Ver_flag_visit</f>
        <v>🇲🇽</v>
      </c>
      <c r="AF8" s="32" t="str">
        <f ca="1">A5</f>
        <v>Mexico</v>
      </c>
      <c r="AG8" s="323">
        <f t="shared" si="13"/>
        <v>0</v>
      </c>
      <c r="AH8" s="195">
        <v>53</v>
      </c>
      <c r="AI8" s="181" t="str">
        <f>AJ8&amp;$B$4</f>
        <v>3A</v>
      </c>
      <c r="AJ8" s="42">
        <v>3</v>
      </c>
      <c r="AK8" s="598" t="str" cm="1">
        <f t="array" aca="1" ref="AK8" ca="1">Ver_flag_visit</f>
        <v>🇰🇷</v>
      </c>
      <c r="AL8" s="37" t="str">
        <f ca="1">IFERROR(INDEX($BD$6:$BD$53,MATCH(AI8,$BN$6:$BN$53,0)),"")</f>
        <v>South Korea</v>
      </c>
      <c r="AM8" s="38">
        <f t="shared" ca="1" si="15"/>
        <v>0</v>
      </c>
      <c r="AN8" s="39">
        <f t="shared" ca="1" si="15"/>
        <v>0</v>
      </c>
      <c r="AO8" s="39">
        <f t="shared" ca="1" si="15"/>
        <v>0</v>
      </c>
      <c r="AP8" s="39">
        <f t="shared" ca="1" si="15"/>
        <v>0</v>
      </c>
      <c r="AQ8" s="39">
        <f t="shared" ca="1" si="15"/>
        <v>0</v>
      </c>
      <c r="AR8" s="39">
        <f t="shared" ca="1" si="15"/>
        <v>0</v>
      </c>
      <c r="AS8" s="39">
        <f t="shared" ca="1" si="15"/>
        <v>0</v>
      </c>
      <c r="AT8" s="43">
        <f t="shared" ca="1" si="15"/>
        <v>0</v>
      </c>
      <c r="AU8" s="330">
        <f ca="1">INDEX($DL$6:$DL$53,MATCH(AI8,$DP$6:$DP$53,0))</f>
        <v>1</v>
      </c>
      <c r="AV8" s="182" t="str">
        <f ca="1">INDEX($BD$6:$BD$53,MATCH(AI8,$BM$6:$BM$53,0))</f>
        <v>South Korea</v>
      </c>
      <c r="AW8" s="210"/>
      <c r="AX8" s="171"/>
      <c r="AY8" s="201" t="str">
        <f ca="1">+A7</f>
        <v>South Korea</v>
      </c>
      <c r="AZ8" s="202"/>
      <c r="BA8" s="176"/>
      <c r="BC8" s="16" t="str">
        <f ca="1">+INDEX(T_Equipos[Grupo],MATCH(WORLDCUP!BD8,T_Equipos[NombreEquipo],0))</f>
        <v>A</v>
      </c>
      <c r="BD8" s="16" t="str">
        <f ca="1">+Equipos!B4</f>
        <v>South Korea</v>
      </c>
      <c r="BE8" s="16">
        <f t="shared" ca="1" si="16"/>
        <v>0</v>
      </c>
      <c r="BF8" s="16">
        <f t="shared" ca="1" si="41"/>
        <v>0</v>
      </c>
      <c r="BG8" s="16">
        <f t="shared" ca="1" si="17"/>
        <v>0</v>
      </c>
      <c r="BH8" s="16">
        <f t="shared" ca="1" si="18"/>
        <v>0</v>
      </c>
      <c r="BI8" s="16">
        <f t="shared" ca="1" si="19"/>
        <v>0</v>
      </c>
      <c r="BJ8" s="16">
        <f t="shared" ca="1" si="20"/>
        <v>0</v>
      </c>
      <c r="BK8" s="16">
        <f t="shared" ca="1" si="21"/>
        <v>0</v>
      </c>
      <c r="BL8" s="16">
        <f t="shared" ca="1" si="42"/>
        <v>0</v>
      </c>
      <c r="BM8" s="16" t="str">
        <f t="shared" ca="1" si="22"/>
        <v>3A</v>
      </c>
      <c r="BN8" s="16" t="str">
        <f t="shared" ca="1" si="23"/>
        <v>3A</v>
      </c>
      <c r="BO8" s="16">
        <f t="shared" ca="1" si="43"/>
        <v>0</v>
      </c>
      <c r="BP8" s="16">
        <f ca="1">COUNTIFS($BO$6:$BO$53,"&gt;"&amp;BO8,$BC$6:$BC$53,INDEX(T_Equipos[Grupo],MATCH(BD8,T_Equipos[NombreEquipo],0)))+1</f>
        <v>1</v>
      </c>
      <c r="BQ8" s="16" t="str">
        <f ca="1">IF(COUNTIFS($BP$6:$BP$53,BP8,$BC$6:$BC$53,INDEX(T_Equipos[Grupo],MATCH(BD8,T_Equipos[NombreEquipo],0)))=1,"-","P."&amp;BP8&amp;" ("&amp;COUNTIFS($BP$6:$BP$53,BP8,$BC$6:$BC$53,INDEX(T_Equipos[Grupo],MATCH(BD8,T_Equipos[NombreEquipo],0)))&amp;")")</f>
        <v>P.1 (4)</v>
      </c>
      <c r="BR8" s="16">
        <f t="shared" ca="1" si="44"/>
        <v>0</v>
      </c>
      <c r="BS8" s="16">
        <f ca="1">BP8+COUNTIFS($BQ$6:$BQ$53,BQ8,$BR$6:BR$53,"&gt;"&amp;BR8,$BC$6:$BC$53,INDEX(T_Equipos[Grupo],MATCH(BD8,T_Equipos[NombreEquipo],0)))</f>
        <v>1</v>
      </c>
      <c r="BT8" s="16" t="str">
        <f ca="1">IF(COUNTIFS($BS$6:$BS$53,BS8,$BC$6:$BC$53,INDEX(T_Equipos[Grupo],MATCH(BD8,T_Equipos[NombreEquipo],0)))=1,"-","P."&amp;BS8&amp;" ("&amp;COUNTIFS($BS$6:$BS$53,BS8,$BC$6:$BC$53,INDEX(T_Equipos[Grupo],MATCH(BD8,T_Equipos[NombreEquipo],0)))&amp;")")</f>
        <v>P.1 (4)</v>
      </c>
      <c r="BU8" s="16">
        <f t="shared" ca="1" si="24"/>
        <v>0</v>
      </c>
      <c r="BV8" s="16">
        <f t="shared" ca="1" si="25"/>
        <v>0</v>
      </c>
      <c r="BW8" s="16">
        <f t="shared" ca="1" si="26"/>
        <v>0</v>
      </c>
      <c r="BX8" s="16">
        <f ca="1">IF($BT8="-","-",BU8*3+BV8)</f>
        <v>0</v>
      </c>
      <c r="BY8" s="16">
        <f ca="1">BS8+COUNTIFS($BT$6:$BT$53,BT8,$BX$6:BX$53,"&gt;"&amp;BX8,$BC$6:$BC$53,INDEX(T_Equipos[Grupo],MATCH(BD8,T_Equipos[NombreEquipo],0)))</f>
        <v>1</v>
      </c>
      <c r="BZ8" s="16" t="str">
        <f ca="1">IF(COUNTIFS($BY$6:$BY$53,BY8,$BC$6:$BC$53,INDEX(T_Equipos[Grupo],MATCH(BD8,T_Equipos[NombreEquipo],0)))=1,"-","P."&amp;BY8&amp;" ("&amp;COUNTIFS($BY$6:$BY$53,BY8,$BC$6:$BC$53,INDEX(T_Equipos[Grupo],MATCH(BD8,T_Equipos[NombreEquipo],0)))&amp;")")</f>
        <v>P.1 (4)</v>
      </c>
      <c r="CA8" s="16">
        <f t="shared" ca="1" si="27"/>
        <v>0</v>
      </c>
      <c r="CB8" s="16">
        <f t="shared" ca="1" si="28"/>
        <v>0</v>
      </c>
      <c r="CC8" s="16">
        <f ca="1">IF($BZ8="-","-",CA8-CB8)</f>
        <v>0</v>
      </c>
      <c r="CD8" s="16">
        <f ca="1">BY8+COUNTIFS($BZ$6:$BZ$53,BZ8,$CC$6:CC$53,"&gt;"&amp;CC8,$BC$6:$BC$53,INDEX(T_Equipos[Grupo],MATCH(BD8,T_Equipos[NombreEquipo],0)))</f>
        <v>1</v>
      </c>
      <c r="CE8" s="16" t="str">
        <f ca="1">IF(COUNTIFS($CD$6:$CD$53,CD8,$BC$6:$BC$53,INDEX(T_Equipos[Grupo],MATCH(BD8,T_Equipos[NombreEquipo],0)))=1,"-","P."&amp;CD8&amp;" ("&amp;COUNTIFS($CD$6:$CD$53,CD8,$BC$6:$BC$53,INDEX(T_Equipos[Grupo],MATCH(BD8,T_Equipos[NombreEquipo],0)))&amp;")")</f>
        <v>P.1 (4)</v>
      </c>
      <c r="CF8" s="16">
        <f t="shared" ca="1" si="29"/>
        <v>0</v>
      </c>
      <c r="CG8" s="16">
        <f ca="1">CD8+COUNTIFS($CE$6:$CE$53,CE8,$CF$6:CF$53,"&gt;"&amp;CF8,$BC$6:$BC$53,INDEX(T_Equipos[Grupo],MATCH(BD8,T_Equipos[NombreEquipo],0)))</f>
        <v>1</v>
      </c>
      <c r="CH8" s="16" t="str">
        <f ca="1">IF(COUNTIFS($CG$6:$CG$53,CG8,$BC$6:$BC$53,INDEX(T_Equipos[Grupo],MATCH(BD8,T_Equipos[NombreEquipo],0)))=1,"-","P."&amp;CG8&amp;" ("&amp;COUNTIFS($CG$6:$CG$53,CG8,$BC$6:$BC$53,INDEX(T_Equipos[Grupo],MATCH(BD8,T_Equipos[NombreEquipo],0)))&amp;")")</f>
        <v>P.1 (4)</v>
      </c>
      <c r="CI8" s="16">
        <f t="shared" ca="1" si="30"/>
        <v>0</v>
      </c>
      <c r="CJ8" s="16">
        <f t="shared" ca="1" si="31"/>
        <v>0</v>
      </c>
      <c r="CK8" s="16">
        <f t="shared" ca="1" si="32"/>
        <v>0</v>
      </c>
      <c r="CL8" s="16">
        <f ca="1">IF($CH8="-","-",CI8*3+CJ8)</f>
        <v>0</v>
      </c>
      <c r="CM8" s="16">
        <f ca="1">CG8+COUNTIFS($CH$6:$CH$53,CH8,$CL$6:CL$53,"&gt;"&amp;CL8,$BC$6:$BC$53,INDEX(T_Equipos[Grupo],MATCH(BD8,T_Equipos[NombreEquipo],0)))</f>
        <v>1</v>
      </c>
      <c r="CN8" s="16" t="str">
        <f ca="1">IF(COUNTIFS($CM$6:$CM$53,CM8,$BC$6:$BC$53,INDEX(T_Equipos[Grupo],MATCH(BD8,T_Equipos[NombreEquipo],0)))=1,"-","P."&amp;CM8&amp;" ("&amp;COUNTIFS($CM$6:$CM$53,CM8,$BC$6:$BC$53,INDEX(T_Equipos[Grupo],MATCH(BD8,T_Equipos[NombreEquipo],0)))&amp;")")</f>
        <v>P.1 (4)</v>
      </c>
      <c r="CO8" s="16">
        <f t="shared" ca="1" si="33"/>
        <v>0</v>
      </c>
      <c r="CP8" s="16">
        <f t="shared" ca="1" si="34"/>
        <v>0</v>
      </c>
      <c r="CQ8" s="16">
        <f ca="1">IF($CN8="-","-",CO8-CP8)</f>
        <v>0</v>
      </c>
      <c r="CR8" s="16">
        <f ca="1">CM8+COUNTIFS($CN$6:$CN$53,CN8,$CQ$6:CQ$53,"&gt;"&amp;CQ8,$BC$6:$BC$53,INDEX(T_Equipos[Grupo],MATCH(BD8,T_Equipos[NombreEquipo],0)))</f>
        <v>1</v>
      </c>
      <c r="CS8" s="16" t="str">
        <f ca="1">IF(COUNTIFS($CR$6:$CR$53,CR8,$BC$6:$BC$53,INDEX(T_Equipos[Grupo],MATCH(BD8,T_Equipos[NombreEquipo],0)))=1,"-","P."&amp;CR8&amp;" ("&amp;COUNTIFS($CR$6:$CR$53,CR8,$BC$6:$BC$53,INDEX(T_Equipos[Grupo],MATCH(BD8,T_Equipos[NombreEquipo],0)))&amp;")")</f>
        <v>P.1 (4)</v>
      </c>
      <c r="CT8" s="16">
        <f t="shared" ca="1" si="35"/>
        <v>0</v>
      </c>
      <c r="CU8" s="16">
        <f ca="1">CR8+COUNTIFS($CS$6:$CS$53,CS8,$CT$6:CT$53,"&gt;"&amp;CT8,$BC$6:$BC$53,INDEX(T_Equipos[Grupo],MATCH(BD8,T_Equipos[NombreEquipo],0)))</f>
        <v>1</v>
      </c>
      <c r="CV8" s="16" t="str">
        <f ca="1">IF(COUNTIFS($CU$6:$CU$53,CU8,$BC$6:$BC$53,INDEX(T_Equipos[Grupo],MATCH(BD8,T_Equipos[NombreEquipo],0)))=1,"-","P."&amp;CU8&amp;" ("&amp;COUNTIFS($CU$6:$CU$53,CU8,$BC$6:$BC$53,INDEX(T_Equipos[Grupo],MATCH(BD8,T_Equipos[NombreEquipo],0)))&amp;")")</f>
        <v>P.1 (4)</v>
      </c>
      <c r="CW8" s="16">
        <f t="shared" ca="1" si="36"/>
        <v>0</v>
      </c>
      <c r="CX8" s="16">
        <f ca="1">CU8+COUNTIFS($CV$6:$CV$53,CV8,$CW$6:CW$53,"&gt;"&amp;CW8,$BC$6:$BC$53,INDEX(T_Equipos[Grupo],MATCH(BD8,T_Equipos[NombreEquipo],0)))</f>
        <v>1</v>
      </c>
      <c r="CY8" s="16" t="str">
        <f ca="1">IF(COUNTIFS($CX$6:$CX$53,CX8,$BC$6:$BC$53,INDEX(T_Equipos[Grupo],MATCH(BD8,T_Equipos[NombreEquipo],0)))=1,"-","P."&amp;CX8&amp;" ("&amp;COUNTIFS($CX$6:$CX$53,CX8,$BC$6:$BC$53,INDEX(T_Equipos[Grupo],MATCH(BD8,T_Equipos[NombreEquipo],0)))&amp;")")</f>
        <v>P.1 (4)</v>
      </c>
      <c r="CZ8" s="16">
        <f t="shared" ca="1" si="37"/>
        <v>0</v>
      </c>
      <c r="DA8" s="16">
        <f ca="1">CX8+COUNTIFS($CY$6:$CY$53,CY8,$CZ$6:CZ$53,"&gt;"&amp;CZ8,$BC$6:$BC$53,INDEX(T_Equipos[Grupo],MATCH(BD8,T_Equipos[NombreEquipo],0)))</f>
        <v>1</v>
      </c>
      <c r="DB8" s="16" t="str">
        <f ca="1">IF(COUNTIFS($DA$6:$DA$53,DA8,$BC$6:$BC$53,INDEX(T_Equipos[Grupo],MATCH(BD8,T_Equipos[NombreEquipo],0)))=1,"-","P."&amp;DA8&amp;" ("&amp;COUNTIFS($DA$6:$DA$53,DA8,$BC$6:$BC$53,INDEX(T_Equipos[Grupo],MATCH(BD8,T_Equipos[NombreEquipo],0)))&amp;")")</f>
        <v>P.1 (4)</v>
      </c>
      <c r="DC8" s="16">
        <f ca="1">IF(DB8="-","-",COUNTIFS(T_Equipos[Rank],"&lt;"&amp;INDEX(T_Equipos[Rank],MATCH(BD8,T_Equipos[NombreEquipo],0)),$BC$6:$BC$53,INDEX(T_Equipos[Grupo],MATCH(BD8,T_Equipos[NombreEquipo],0)))+1)</f>
        <v>3</v>
      </c>
      <c r="DD8" s="16">
        <f ca="1">DA8+COUNTIFS($DB$6:$DB$53,DB8,$DC$6:DC$53,"&lt;"&amp;DC8,$BC$6:$BC$53,INDEX(T_Equipos[Grupo],MATCH(BD8,T_Equipos[NombreEquipo],0)))</f>
        <v>3</v>
      </c>
      <c r="DE8" s="16"/>
      <c r="DF8" s="16">
        <f t="shared" ca="1" si="45"/>
        <v>3</v>
      </c>
      <c r="DG8" s="16">
        <f ca="1">IF(DB8="-","-",COUNTIFS(DF$6:DF$53,"&lt;"&amp;DF8,$BC$6:$BC$53,INDEX(T_Equipos[Grupo],MATCH(BD8,T_Equipos[NombreEquipo],0))))</f>
        <v>2</v>
      </c>
      <c r="DH8" s="16">
        <f ca="1">DA8+COUNTIFS(DB$6:DB$53,DB8,DG$6:DG$53,"&lt;"&amp;DG8,$BC$6:$BC$53,INDEX(T_Equipos[Grupo],MATCH(BD8,T_Equipos[NombreEquipo],0)))</f>
        <v>3</v>
      </c>
      <c r="DI8" s="16"/>
      <c r="DJ8" s="16">
        <f t="shared" ca="1" si="38"/>
        <v>1</v>
      </c>
      <c r="DK8" s="16">
        <f t="shared" ca="1" si="39"/>
        <v>0</v>
      </c>
      <c r="DL8" s="16">
        <f t="shared" ca="1" si="40"/>
        <v>1</v>
      </c>
      <c r="DM8" s="16" t="str">
        <f t="shared" ca="1" si="46"/>
        <v>1.1</v>
      </c>
      <c r="DN8" s="16" cm="1">
        <f t="array" aca="1" ref="DN8" ca="1">OFFSET(Horarios!$P$3,DJ8-1,0,DL8,1)</f>
        <v>1</v>
      </c>
      <c r="DO8" s="16"/>
      <c r="DP8" s="16" t="s">
        <v>90</v>
      </c>
      <c r="DQ8" s="16" t="str">
        <f t="shared" ca="1" si="47"/>
        <v>South Korea</v>
      </c>
    </row>
    <row r="9" spans="1:121" ht="16" customHeight="1" thickBot="1" x14ac:dyDescent="0.25">
      <c r="A9" s="16"/>
      <c r="B9" s="16"/>
      <c r="C9" s="16"/>
      <c r="D9" s="16" t="str">
        <f t="shared" si="0"/>
        <v>Pendiente</v>
      </c>
      <c r="E9" s="16" t="str">
        <f t="shared" si="1"/>
        <v>-</v>
      </c>
      <c r="F9" s="16" t="str">
        <f t="shared" si="2"/>
        <v>-</v>
      </c>
      <c r="G9" s="16"/>
      <c r="H9" s="16" t="str">
        <f t="shared" si="3"/>
        <v>-</v>
      </c>
      <c r="I9" s="16" t="str">
        <f t="shared" si="4"/>
        <v>-</v>
      </c>
      <c r="J9" s="16"/>
      <c r="K9" s="16" t="str">
        <f t="shared" si="5"/>
        <v>-</v>
      </c>
      <c r="L9" s="16" t="str">
        <f t="shared" si="6"/>
        <v>-</v>
      </c>
      <c r="M9" s="16"/>
      <c r="N9" s="16" t="str">
        <f t="shared" si="7"/>
        <v>-</v>
      </c>
      <c r="O9" s="16" t="str">
        <f t="shared" si="8"/>
        <v>-</v>
      </c>
      <c r="P9" s="16"/>
      <c r="Q9" s="16" t="str">
        <f t="shared" si="9"/>
        <v>-</v>
      </c>
      <c r="R9" s="16" t="str">
        <f t="shared" si="10"/>
        <v>-</v>
      </c>
      <c r="S9" s="16"/>
      <c r="T9" s="16" t="str">
        <f t="shared" si="11"/>
        <v>-</v>
      </c>
      <c r="U9" s="16" t="str">
        <f t="shared" si="12"/>
        <v>-</v>
      </c>
      <c r="V9" s="17"/>
      <c r="W9" s="639"/>
      <c r="X9" s="28">
        <f ca="1">Horarios!C9</f>
        <v>46197.875</v>
      </c>
      <c r="Y9" s="29">
        <f ca="1">Horarios!C9</f>
        <v>46197.875</v>
      </c>
      <c r="Z9" s="30" t="str">
        <f>$Z$8</f>
        <v>R3</v>
      </c>
      <c r="AA9" s="31" t="str">
        <f ca="1">A6</f>
        <v>South Africa</v>
      </c>
      <c r="AB9" s="52" t="str" cm="1">
        <f t="array" aca="1" ref="AB9" ca="1">Ver_flag_local</f>
        <v>🇿🇦</v>
      </c>
      <c r="AC9" s="53"/>
      <c r="AD9" s="54"/>
      <c r="AE9" s="596" t="str" cm="1">
        <f t="array" aca="1" ref="AE9" ca="1">Ver_flag_visit</f>
        <v>🇰🇷</v>
      </c>
      <c r="AF9" s="33" t="str">
        <f ca="1">A7</f>
        <v>South Korea</v>
      </c>
      <c r="AG9" s="323">
        <f t="shared" si="13"/>
        <v>0</v>
      </c>
      <c r="AH9" s="195">
        <v>54</v>
      </c>
      <c r="AI9" s="181" t="str">
        <f>AJ9&amp;$B$4</f>
        <v>4A</v>
      </c>
      <c r="AJ9" s="44">
        <v>4</v>
      </c>
      <c r="AK9" s="599" t="str" cm="1">
        <f t="array" aca="1" ref="AK9" ca="1">Ver_flag_visit</f>
        <v>🇨🇿</v>
      </c>
      <c r="AL9" s="45" t="str">
        <f ca="1">IFERROR(INDEX($BD$6:$BD$53,MATCH(AI9,$BN$6:$BN$53,0)),"")</f>
        <v>Czech Republic</v>
      </c>
      <c r="AM9" s="46">
        <f t="shared" ca="1" si="15"/>
        <v>0</v>
      </c>
      <c r="AN9" s="47">
        <f t="shared" ca="1" si="15"/>
        <v>0</v>
      </c>
      <c r="AO9" s="47">
        <f t="shared" ca="1" si="15"/>
        <v>0</v>
      </c>
      <c r="AP9" s="47">
        <f t="shared" ca="1" si="15"/>
        <v>0</v>
      </c>
      <c r="AQ9" s="47">
        <f t="shared" ca="1" si="15"/>
        <v>0</v>
      </c>
      <c r="AR9" s="47">
        <f t="shared" ca="1" si="15"/>
        <v>0</v>
      </c>
      <c r="AS9" s="47">
        <f t="shared" ca="1" si="15"/>
        <v>0</v>
      </c>
      <c r="AT9" s="48">
        <f t="shared" ca="1" si="15"/>
        <v>0</v>
      </c>
      <c r="AU9" s="330">
        <f ca="1">INDEX($DL$6:$DL$53,MATCH(AI9,$DP$6:$DP$53,0))</f>
        <v>1</v>
      </c>
      <c r="AV9" s="182" t="str">
        <f ca="1">INDEX($BD$6:$BD$53,MATCH(AI9,$BM$6:$BM$53,0))</f>
        <v>Czech Republic</v>
      </c>
      <c r="AW9" s="210"/>
      <c r="AX9" s="171"/>
      <c r="AY9" s="205" t="str">
        <f ca="1">+A8</f>
        <v>Czech Republic</v>
      </c>
      <c r="AZ9" s="206"/>
      <c r="BA9" s="176"/>
      <c r="BC9" s="16" t="str">
        <f ca="1">+INDEX(T_Equipos[Grupo],MATCH(WORLDCUP!BD9,T_Equipos[NombreEquipo],0))</f>
        <v>A</v>
      </c>
      <c r="BD9" s="16" t="str">
        <f ca="1">+Equipos!B5</f>
        <v>Czech Republic</v>
      </c>
      <c r="BE9" s="16">
        <f t="shared" ca="1" si="16"/>
        <v>0</v>
      </c>
      <c r="BF9" s="16">
        <f t="shared" ca="1" si="41"/>
        <v>0</v>
      </c>
      <c r="BG9" s="16">
        <f t="shared" ca="1" si="17"/>
        <v>0</v>
      </c>
      <c r="BH9" s="16">
        <f t="shared" ca="1" si="18"/>
        <v>0</v>
      </c>
      <c r="BI9" s="16">
        <f t="shared" ca="1" si="19"/>
        <v>0</v>
      </c>
      <c r="BJ9" s="16">
        <f t="shared" ca="1" si="20"/>
        <v>0</v>
      </c>
      <c r="BK9" s="16">
        <f t="shared" ca="1" si="21"/>
        <v>0</v>
      </c>
      <c r="BL9" s="16">
        <f t="shared" ca="1" si="42"/>
        <v>0</v>
      </c>
      <c r="BM9" s="16" t="str">
        <f t="shared" ca="1" si="22"/>
        <v>4A</v>
      </c>
      <c r="BN9" s="16" t="str">
        <f t="shared" ca="1" si="23"/>
        <v>4A</v>
      </c>
      <c r="BO9" s="16">
        <f t="shared" ca="1" si="43"/>
        <v>0</v>
      </c>
      <c r="BP9" s="16">
        <f ca="1">COUNTIFS($BO$6:$BO$53,"&gt;"&amp;BO9,$BC$6:$BC$53,INDEX(T_Equipos[Grupo],MATCH(BD9,T_Equipos[NombreEquipo],0)))+1</f>
        <v>1</v>
      </c>
      <c r="BQ9" s="16" t="str">
        <f ca="1">IF(COUNTIFS($BP$6:$BP$53,BP9,$BC$6:$BC$53,INDEX(T_Equipos[Grupo],MATCH(BD9,T_Equipos[NombreEquipo],0)))=1,"-","P."&amp;BP9&amp;" ("&amp;COUNTIFS($BP$6:$BP$53,BP9,$BC$6:$BC$53,INDEX(T_Equipos[Grupo],MATCH(BD9,T_Equipos[NombreEquipo],0)))&amp;")")</f>
        <v>P.1 (4)</v>
      </c>
      <c r="BR9" s="16">
        <f t="shared" ca="1" si="44"/>
        <v>0</v>
      </c>
      <c r="BS9" s="16">
        <f ca="1">BP9+COUNTIFS($BQ$6:$BQ$53,BQ9,$BR$6:BR$53,"&gt;"&amp;BR9,$BC$6:$BC$53,INDEX(T_Equipos[Grupo],MATCH(BD9,T_Equipos[NombreEquipo],0)))</f>
        <v>1</v>
      </c>
      <c r="BT9" s="16" t="str">
        <f ca="1">IF(COUNTIFS($BS$6:$BS$53,BS9,$BC$6:$BC$53,INDEX(T_Equipos[Grupo],MATCH(BD9,T_Equipos[NombreEquipo],0)))=1,"-","P."&amp;BS9&amp;" ("&amp;COUNTIFS($BS$6:$BS$53,BS9,$BC$6:$BC$53,INDEX(T_Equipos[Grupo],MATCH(BD9,T_Equipos[NombreEquipo],0)))&amp;")")</f>
        <v>P.1 (4)</v>
      </c>
      <c r="BU9" s="16">
        <f t="shared" ca="1" si="24"/>
        <v>0</v>
      </c>
      <c r="BV9" s="16">
        <f t="shared" ca="1" si="25"/>
        <v>0</v>
      </c>
      <c r="BW9" s="16">
        <f t="shared" ca="1" si="26"/>
        <v>0</v>
      </c>
      <c r="BX9" s="16">
        <f ca="1">IF($BT9="-","-",BU9*3+BV9)</f>
        <v>0</v>
      </c>
      <c r="BY9" s="16">
        <f ca="1">BS9+COUNTIFS($BT$6:$BT$53,BT9,$BX$6:BX$53,"&gt;"&amp;BX9,$BC$6:$BC$53,INDEX(T_Equipos[Grupo],MATCH(BD9,T_Equipos[NombreEquipo],0)))</f>
        <v>1</v>
      </c>
      <c r="BZ9" s="16" t="str">
        <f ca="1">IF(COUNTIFS($BY$6:$BY$53,BY9,$BC$6:$BC$53,INDEX(T_Equipos[Grupo],MATCH(BD9,T_Equipos[NombreEquipo],0)))=1,"-","P."&amp;BY9&amp;" ("&amp;COUNTIFS($BY$6:$BY$53,BY9,$BC$6:$BC$53,INDEX(T_Equipos[Grupo],MATCH(BD9,T_Equipos[NombreEquipo],0)))&amp;")")</f>
        <v>P.1 (4)</v>
      </c>
      <c r="CA9" s="16">
        <f t="shared" ca="1" si="27"/>
        <v>0</v>
      </c>
      <c r="CB9" s="16">
        <f t="shared" ca="1" si="28"/>
        <v>0</v>
      </c>
      <c r="CC9" s="16">
        <f ca="1">IF($BZ9="-","-",CA9-CB9)</f>
        <v>0</v>
      </c>
      <c r="CD9" s="16">
        <f ca="1">BY9+COUNTIFS($BZ$6:$BZ$53,BZ9,$CC$6:CC$53,"&gt;"&amp;CC9,$BC$6:$BC$53,INDEX(T_Equipos[Grupo],MATCH(BD9,T_Equipos[NombreEquipo],0)))</f>
        <v>1</v>
      </c>
      <c r="CE9" s="16" t="str">
        <f ca="1">IF(COUNTIFS($CD$6:$CD$53,CD9,$BC$6:$BC$53,INDEX(T_Equipos[Grupo],MATCH(BD9,T_Equipos[NombreEquipo],0)))=1,"-","P."&amp;CD9&amp;" ("&amp;COUNTIFS($CD$6:$CD$53,CD9,$BC$6:$BC$53,INDEX(T_Equipos[Grupo],MATCH(BD9,T_Equipos[NombreEquipo],0)))&amp;")")</f>
        <v>P.1 (4)</v>
      </c>
      <c r="CF9" s="16">
        <f t="shared" ca="1" si="29"/>
        <v>0</v>
      </c>
      <c r="CG9" s="16">
        <f ca="1">CD9+COUNTIFS($CE$6:$CE$53,CE9,$CF$6:CF$53,"&gt;"&amp;CF9,$BC$6:$BC$53,INDEX(T_Equipos[Grupo],MATCH(BD9,T_Equipos[NombreEquipo],0)))</f>
        <v>1</v>
      </c>
      <c r="CH9" s="16" t="str">
        <f ca="1">IF(COUNTIFS($CG$6:$CG$53,CG9,$BC$6:$BC$53,INDEX(T_Equipos[Grupo],MATCH(BD9,T_Equipos[NombreEquipo],0)))=1,"-","P."&amp;CG9&amp;" ("&amp;COUNTIFS($CG$6:$CG$53,CG9,$BC$6:$BC$53,INDEX(T_Equipos[Grupo],MATCH(BD9,T_Equipos[NombreEquipo],0)))&amp;")")</f>
        <v>P.1 (4)</v>
      </c>
      <c r="CI9" s="16">
        <f t="shared" ca="1" si="30"/>
        <v>0</v>
      </c>
      <c r="CJ9" s="16">
        <f t="shared" ca="1" si="31"/>
        <v>0</v>
      </c>
      <c r="CK9" s="16">
        <f t="shared" ca="1" si="32"/>
        <v>0</v>
      </c>
      <c r="CL9" s="16">
        <f ca="1">IF($CH9="-","-",CI9*3+CJ9)</f>
        <v>0</v>
      </c>
      <c r="CM9" s="16">
        <f ca="1">CG9+COUNTIFS($CH$6:$CH$53,CH9,$CL$6:CL$53,"&gt;"&amp;CL9,$BC$6:$BC$53,INDEX(T_Equipos[Grupo],MATCH(BD9,T_Equipos[NombreEquipo],0)))</f>
        <v>1</v>
      </c>
      <c r="CN9" s="16" t="str">
        <f ca="1">IF(COUNTIFS($CM$6:$CM$53,CM9,$BC$6:$BC$53,INDEX(T_Equipos[Grupo],MATCH(BD9,T_Equipos[NombreEquipo],0)))=1,"-","P."&amp;CM9&amp;" ("&amp;COUNTIFS($CM$6:$CM$53,CM9,$BC$6:$BC$53,INDEX(T_Equipos[Grupo],MATCH(BD9,T_Equipos[NombreEquipo],0)))&amp;")")</f>
        <v>P.1 (4)</v>
      </c>
      <c r="CO9" s="16">
        <f t="shared" ca="1" si="33"/>
        <v>0</v>
      </c>
      <c r="CP9" s="16">
        <f t="shared" ca="1" si="34"/>
        <v>0</v>
      </c>
      <c r="CQ9" s="16">
        <f ca="1">IF($CN9="-","-",CO9-CP9)</f>
        <v>0</v>
      </c>
      <c r="CR9" s="16">
        <f ca="1">CM9+COUNTIFS($CN$6:$CN$53,CN9,$CQ$6:CQ$53,"&gt;"&amp;CQ9,$BC$6:$BC$53,INDEX(T_Equipos[Grupo],MATCH(BD9,T_Equipos[NombreEquipo],0)))</f>
        <v>1</v>
      </c>
      <c r="CS9" s="16" t="str">
        <f ca="1">IF(COUNTIFS($CR$6:$CR$53,CR9,$BC$6:$BC$53,INDEX(T_Equipos[Grupo],MATCH(BD9,T_Equipos[NombreEquipo],0)))=1,"-","P."&amp;CR9&amp;" ("&amp;COUNTIFS($CR$6:$CR$53,CR9,$BC$6:$BC$53,INDEX(T_Equipos[Grupo],MATCH(BD9,T_Equipos[NombreEquipo],0)))&amp;")")</f>
        <v>P.1 (4)</v>
      </c>
      <c r="CT9" s="16">
        <f t="shared" ca="1" si="35"/>
        <v>0</v>
      </c>
      <c r="CU9" s="16">
        <f ca="1">CR9+COUNTIFS($CS$6:$CS$53,CS9,$CT$6:CT$53,"&gt;"&amp;CT9,$BC$6:$BC$53,INDEX(T_Equipos[Grupo],MATCH(BD9,T_Equipos[NombreEquipo],0)))</f>
        <v>1</v>
      </c>
      <c r="CV9" s="16" t="str">
        <f ca="1">IF(COUNTIFS($CU$6:$CU$53,CU9,$BC$6:$BC$53,INDEX(T_Equipos[Grupo],MATCH(BD9,T_Equipos[NombreEquipo],0)))=1,"-","P."&amp;CU9&amp;" ("&amp;COUNTIFS($CU$6:$CU$53,CU9,$BC$6:$BC$53,INDEX(T_Equipos[Grupo],MATCH(BD9,T_Equipos[NombreEquipo],0)))&amp;")")</f>
        <v>P.1 (4)</v>
      </c>
      <c r="CW9" s="16">
        <f t="shared" ca="1" si="36"/>
        <v>0</v>
      </c>
      <c r="CX9" s="16">
        <f ca="1">CU9+COUNTIFS($CV$6:$CV$53,CV9,$CW$6:CW$53,"&gt;"&amp;CW9,$BC$6:$BC$53,INDEX(T_Equipos[Grupo],MATCH(BD9,T_Equipos[NombreEquipo],0)))</f>
        <v>1</v>
      </c>
      <c r="CY9" s="16" t="str">
        <f ca="1">IF(COUNTIFS($CX$6:$CX$53,CX9,$BC$6:$BC$53,INDEX(T_Equipos[Grupo],MATCH(BD9,T_Equipos[NombreEquipo],0)))=1,"-","P."&amp;CX9&amp;" ("&amp;COUNTIFS($CX$6:$CX$53,CX9,$BC$6:$BC$53,INDEX(T_Equipos[Grupo],MATCH(BD9,T_Equipos[NombreEquipo],0)))&amp;")")</f>
        <v>P.1 (4)</v>
      </c>
      <c r="CZ9" s="16">
        <f t="shared" ca="1" si="37"/>
        <v>0</v>
      </c>
      <c r="DA9" s="16">
        <f ca="1">CX9+COUNTIFS($CY$6:$CY$53,CY9,$CZ$6:CZ$53,"&gt;"&amp;CZ9,$BC$6:$BC$53,INDEX(T_Equipos[Grupo],MATCH(BD9,T_Equipos[NombreEquipo],0)))</f>
        <v>1</v>
      </c>
      <c r="DB9" s="16" t="str">
        <f ca="1">IF(COUNTIFS($DA$6:$DA$53,DA9,$BC$6:$BC$53,INDEX(T_Equipos[Grupo],MATCH(BD9,T_Equipos[NombreEquipo],0)))=1,"-","P."&amp;DA9&amp;" ("&amp;COUNTIFS($DA$6:$DA$53,DA9,$BC$6:$BC$53,INDEX(T_Equipos[Grupo],MATCH(BD9,T_Equipos[NombreEquipo],0)))&amp;")")</f>
        <v>P.1 (4)</v>
      </c>
      <c r="DC9" s="16">
        <f ca="1">IF(DB9="-","-",COUNTIFS(T_Equipos[Rank],"&lt;"&amp;INDEX(T_Equipos[Rank],MATCH(BD9,T_Equipos[NombreEquipo],0)),$BC$6:$BC$53,INDEX(T_Equipos[Grupo],MATCH(BD9,T_Equipos[NombreEquipo],0)))+1)</f>
        <v>4</v>
      </c>
      <c r="DD9" s="16">
        <f ca="1">DA9+COUNTIFS($DB$6:$DB$53,DB9,$DC$6:DC$53,"&lt;"&amp;DC9,$BC$6:$BC$53,INDEX(T_Equipos[Grupo],MATCH(BD9,T_Equipos[NombreEquipo],0)))</f>
        <v>4</v>
      </c>
      <c r="DE9" s="16"/>
      <c r="DF9" s="16">
        <f t="shared" ca="1" si="45"/>
        <v>4</v>
      </c>
      <c r="DG9" s="16">
        <f ca="1">IF(DB9="-","-",COUNTIFS(DF$6:DF$53,"&lt;"&amp;DF9,$BC$6:$BC$53,INDEX(T_Equipos[Grupo],MATCH(BD9,T_Equipos[NombreEquipo],0))))</f>
        <v>3</v>
      </c>
      <c r="DH9" s="16">
        <f ca="1">DA9+COUNTIFS(DB$6:DB$53,DB9,DG$6:DG$53,"&lt;"&amp;DG9,$BC$6:$BC$53,INDEX(T_Equipos[Grupo],MATCH(BD9,T_Equipos[NombreEquipo],0)))</f>
        <v>4</v>
      </c>
      <c r="DI9" s="16"/>
      <c r="DJ9" s="16">
        <f t="shared" ca="1" si="38"/>
        <v>1</v>
      </c>
      <c r="DK9" s="16">
        <f t="shared" ca="1" si="39"/>
        <v>0</v>
      </c>
      <c r="DL9" s="16">
        <f t="shared" ca="1" si="40"/>
        <v>1</v>
      </c>
      <c r="DM9" s="16" t="str">
        <f t="shared" ca="1" si="46"/>
        <v>1.1</v>
      </c>
      <c r="DN9" s="16" cm="1">
        <f t="array" aca="1" ref="DN9" ca="1">OFFSET(Horarios!$P$3,DJ9-1,0,DL9,1)</f>
        <v>1</v>
      </c>
      <c r="DO9" s="16"/>
      <c r="DP9" s="16" t="s">
        <v>658</v>
      </c>
      <c r="DQ9" s="16" t="str">
        <f t="shared" ca="1" si="47"/>
        <v>Czech Republic</v>
      </c>
    </row>
    <row r="10" spans="1:121" ht="16" customHeight="1" thickBot="1" x14ac:dyDescent="0.25">
      <c r="A10" s="16"/>
      <c r="B10" s="16"/>
      <c r="C10" s="16"/>
      <c r="D10" s="16"/>
      <c r="E10" s="16"/>
      <c r="F10" s="16"/>
      <c r="G10" s="16"/>
      <c r="H10" s="16"/>
      <c r="I10" s="16"/>
      <c r="J10" s="16"/>
      <c r="K10" s="16"/>
      <c r="L10" s="16"/>
      <c r="M10" s="16"/>
      <c r="N10" s="16"/>
      <c r="O10" s="16"/>
      <c r="P10" s="16"/>
      <c r="Q10" s="16"/>
      <c r="R10" s="16"/>
      <c r="S10" s="16"/>
      <c r="T10" s="16"/>
      <c r="U10" s="16"/>
      <c r="V10" s="17"/>
      <c r="W10" s="154"/>
      <c r="X10" s="155"/>
      <c r="Y10" s="154"/>
      <c r="Z10" s="156"/>
      <c r="AA10" s="157"/>
      <c r="AB10" s="158"/>
      <c r="AC10" s="151"/>
      <c r="AD10" s="151"/>
      <c r="AE10" s="158"/>
      <c r="AF10" s="159"/>
      <c r="AG10" s="323"/>
      <c r="AH10" s="195"/>
      <c r="AI10" s="181"/>
      <c r="AJ10" s="160"/>
      <c r="AK10" s="161"/>
      <c r="AL10" s="162"/>
      <c r="AM10" s="163"/>
      <c r="AN10" s="160"/>
      <c r="AO10" s="160"/>
      <c r="AP10" s="160"/>
      <c r="AQ10" s="160"/>
      <c r="AR10" s="160"/>
      <c r="AS10" s="160"/>
      <c r="AT10" s="160"/>
      <c r="AU10" s="330"/>
      <c r="AV10" s="189"/>
      <c r="AW10" s="211"/>
      <c r="AX10" s="171"/>
      <c r="AY10" s="154"/>
      <c r="AZ10" s="155"/>
      <c r="BA10" s="176"/>
      <c r="BC10" s="16" t="str">
        <f ca="1">+INDEX(T_Equipos[Grupo],MATCH(WORLDCUP!BD10,T_Equipos[NombreEquipo],0))</f>
        <v>B</v>
      </c>
      <c r="BD10" s="16" t="str">
        <f ca="1">+Equipos!B6</f>
        <v>Canada</v>
      </c>
      <c r="BE10" s="16">
        <f t="shared" ca="1" si="16"/>
        <v>0</v>
      </c>
      <c r="BF10" s="16">
        <f t="shared" ca="1" si="41"/>
        <v>0</v>
      </c>
      <c r="BG10" s="16">
        <f t="shared" ca="1" si="17"/>
        <v>0</v>
      </c>
      <c r="BH10" s="16">
        <f t="shared" ca="1" si="18"/>
        <v>0</v>
      </c>
      <c r="BI10" s="16">
        <f t="shared" ca="1" si="19"/>
        <v>0</v>
      </c>
      <c r="BJ10" s="16">
        <f t="shared" ca="1" si="20"/>
        <v>0</v>
      </c>
      <c r="BK10" s="16">
        <f t="shared" ca="1" si="21"/>
        <v>0</v>
      </c>
      <c r="BL10" s="16">
        <f t="shared" ca="1" si="42"/>
        <v>0</v>
      </c>
      <c r="BM10" s="16" t="str">
        <f t="shared" ca="1" si="22"/>
        <v>1B</v>
      </c>
      <c r="BN10" s="16" t="str">
        <f t="shared" ca="1" si="23"/>
        <v>1B</v>
      </c>
      <c r="BO10" s="16">
        <f t="shared" ca="1" si="43"/>
        <v>0</v>
      </c>
      <c r="BP10" s="16">
        <f ca="1">COUNTIFS($BO$6:$BO$53,"&gt;"&amp;BO10,$BC$6:$BC$53,INDEX(T_Equipos[Grupo],MATCH(BD10,T_Equipos[NombreEquipo],0)))+1</f>
        <v>1</v>
      </c>
      <c r="BQ10" s="16" t="str">
        <f ca="1">IF(COUNTIFS($BP$6:$BP$53,BP10,$BC$6:$BC$53,INDEX(T_Equipos[Grupo],MATCH(BD10,T_Equipos[NombreEquipo],0)))=1,"-","P."&amp;BP10&amp;" ("&amp;COUNTIFS($BP$6:$BP$53,BP10,$BC$6:$BC$53,INDEX(T_Equipos[Grupo],MATCH(BD10,T_Equipos[NombreEquipo],0)))&amp;")")</f>
        <v>P.1 (4)</v>
      </c>
      <c r="BR10" s="16">
        <f t="shared" ca="1" si="44"/>
        <v>0</v>
      </c>
      <c r="BS10" s="16">
        <f ca="1">BP10+COUNTIFS($BQ$6:$BQ$53,BQ10,$BR$6:BR$53,"&gt;"&amp;BR10,$BC$6:$BC$53,INDEX(T_Equipos[Grupo],MATCH(BD10,T_Equipos[NombreEquipo],0)))</f>
        <v>1</v>
      </c>
      <c r="BT10" s="16" t="str">
        <f ca="1">IF(COUNTIFS($BS$6:$BS$53,BS10,$BC$6:$BC$53,INDEX(T_Equipos[Grupo],MATCH(BD10,T_Equipos[NombreEquipo],0)))=1,"-","P."&amp;BS10&amp;" ("&amp;COUNTIFS($BS$6:$BS$53,BS10,$BC$6:$BC$53,INDEX(T_Equipos[Grupo],MATCH(BD10,T_Equipos[NombreEquipo],0)))&amp;")")</f>
        <v>P.1 (4)</v>
      </c>
      <c r="BU10" s="16">
        <f t="shared" ca="1" si="24"/>
        <v>0</v>
      </c>
      <c r="BV10" s="16">
        <f t="shared" ca="1" si="25"/>
        <v>0</v>
      </c>
      <c r="BW10" s="16">
        <f t="shared" ca="1" si="26"/>
        <v>0</v>
      </c>
      <c r="BX10" s="16">
        <f t="shared" ref="BX10:BX53" ca="1" si="48">IF($BT10="-","-",BU10*3+BV10)</f>
        <v>0</v>
      </c>
      <c r="BY10" s="16">
        <f ca="1">BS10+COUNTIFS($BT$6:$BT$53,BT10,$BX$6:BX$53,"&gt;"&amp;BX10,$BC$6:$BC$53,INDEX(T_Equipos[Grupo],MATCH(BD10,T_Equipos[NombreEquipo],0)))</f>
        <v>1</v>
      </c>
      <c r="BZ10" s="16" t="str">
        <f ca="1">IF(COUNTIFS($BY$6:$BY$53,BY10,$BC$6:$BC$53,INDEX(T_Equipos[Grupo],MATCH(BD10,T_Equipos[NombreEquipo],0)))=1,"-","P."&amp;BY10&amp;" ("&amp;COUNTIFS($BY$6:$BY$53,BY10,$BC$6:$BC$53,INDEX(T_Equipos[Grupo],MATCH(BD10,T_Equipos[NombreEquipo],0)))&amp;")")</f>
        <v>P.1 (4)</v>
      </c>
      <c r="CA10" s="16">
        <f t="shared" ca="1" si="27"/>
        <v>0</v>
      </c>
      <c r="CB10" s="16">
        <f t="shared" ca="1" si="28"/>
        <v>0</v>
      </c>
      <c r="CC10" s="16">
        <f t="shared" ref="CC10:CC53" ca="1" si="49">IF($BZ10="-","-",CA10-CB10)</f>
        <v>0</v>
      </c>
      <c r="CD10" s="16">
        <f ca="1">BY10+COUNTIFS($BZ$6:$BZ$53,BZ10,$CC$6:CC$53,"&gt;"&amp;CC10,$BC$6:$BC$53,INDEX(T_Equipos[Grupo],MATCH(BD10,T_Equipos[NombreEquipo],0)))</f>
        <v>1</v>
      </c>
      <c r="CE10" s="16" t="str">
        <f ca="1">IF(COUNTIFS($CD$6:$CD$53,CD10,$BC$6:$BC$53,INDEX(T_Equipos[Grupo],MATCH(BD10,T_Equipos[NombreEquipo],0)))=1,"-","P."&amp;CD10&amp;" ("&amp;COUNTIFS($CD$6:$CD$53,CD10,$BC$6:$BC$53,INDEX(T_Equipos[Grupo],MATCH(BD10,T_Equipos[NombreEquipo],0)))&amp;")")</f>
        <v>P.1 (4)</v>
      </c>
      <c r="CF10" s="16">
        <f t="shared" ca="1" si="29"/>
        <v>0</v>
      </c>
      <c r="CG10" s="16">
        <f ca="1">CD10+COUNTIFS($CE$6:$CE$53,CE10,$CF$6:CF$53,"&gt;"&amp;CF10,$BC$6:$BC$53,INDEX(T_Equipos[Grupo],MATCH(BD10,T_Equipos[NombreEquipo],0)))</f>
        <v>1</v>
      </c>
      <c r="CH10" s="16" t="str">
        <f ca="1">IF(COUNTIFS($CG$6:$CG$53,CG10,$BC$6:$BC$53,INDEX(T_Equipos[Grupo],MATCH(BD10,T_Equipos[NombreEquipo],0)))=1,"-","P."&amp;CG10&amp;" ("&amp;COUNTIFS($CG$6:$CG$53,CG10,$BC$6:$BC$53,INDEX(T_Equipos[Grupo],MATCH(BD10,T_Equipos[NombreEquipo],0)))&amp;")")</f>
        <v>P.1 (4)</v>
      </c>
      <c r="CI10" s="16">
        <f t="shared" ca="1" si="30"/>
        <v>0</v>
      </c>
      <c r="CJ10" s="16">
        <f t="shared" ca="1" si="31"/>
        <v>0</v>
      </c>
      <c r="CK10" s="16">
        <f t="shared" ca="1" si="32"/>
        <v>0</v>
      </c>
      <c r="CL10" s="16">
        <f t="shared" ref="CL10:CL53" ca="1" si="50">IF($CH10="-","-",CI10*3+CJ10)</f>
        <v>0</v>
      </c>
      <c r="CM10" s="16">
        <f ca="1">CG10+COUNTIFS($CH$6:$CH$53,CH10,$CL$6:CL$53,"&gt;"&amp;CL10,$BC$6:$BC$53,INDEX(T_Equipos[Grupo],MATCH(BD10,T_Equipos[NombreEquipo],0)))</f>
        <v>1</v>
      </c>
      <c r="CN10" s="16" t="str">
        <f ca="1">IF(COUNTIFS($CM$6:$CM$53,CM10,$BC$6:$BC$53,INDEX(T_Equipos[Grupo],MATCH(BD10,T_Equipos[NombreEquipo],0)))=1,"-","P."&amp;CM10&amp;" ("&amp;COUNTIFS($CM$6:$CM$53,CM10,$BC$6:$BC$53,INDEX(T_Equipos[Grupo],MATCH(BD10,T_Equipos[NombreEquipo],0)))&amp;")")</f>
        <v>P.1 (4)</v>
      </c>
      <c r="CO10" s="16">
        <f t="shared" ca="1" si="33"/>
        <v>0</v>
      </c>
      <c r="CP10" s="16">
        <f t="shared" ca="1" si="34"/>
        <v>0</v>
      </c>
      <c r="CQ10" s="16">
        <f t="shared" ref="CQ10:CQ53" ca="1" si="51">IF($CN10="-","-",CO10-CP10)</f>
        <v>0</v>
      </c>
      <c r="CR10" s="16">
        <f ca="1">CM10+COUNTIFS($CN$6:$CN$53,CN10,$CQ$6:CQ$53,"&gt;"&amp;CQ10,$BC$6:$BC$53,INDEX(T_Equipos[Grupo],MATCH(BD10,T_Equipos[NombreEquipo],0)))</f>
        <v>1</v>
      </c>
      <c r="CS10" s="16" t="str">
        <f ca="1">IF(COUNTIFS($CR$6:$CR$53,CR10,$BC$6:$BC$53,INDEX(T_Equipos[Grupo],MATCH(BD10,T_Equipos[NombreEquipo],0)))=1,"-","P."&amp;CR10&amp;" ("&amp;COUNTIFS($CR$6:$CR$53,CR10,$BC$6:$BC$53,INDEX(T_Equipos[Grupo],MATCH(BD10,T_Equipos[NombreEquipo],0)))&amp;")")</f>
        <v>P.1 (4)</v>
      </c>
      <c r="CT10" s="16">
        <f t="shared" ca="1" si="35"/>
        <v>0</v>
      </c>
      <c r="CU10" s="16">
        <f ca="1">CR10+COUNTIFS($CS$6:$CS$53,CS10,$CT$6:CT$53,"&gt;"&amp;CT10,$BC$6:$BC$53,INDEX(T_Equipos[Grupo],MATCH(BD10,T_Equipos[NombreEquipo],0)))</f>
        <v>1</v>
      </c>
      <c r="CV10" s="16" t="str">
        <f ca="1">IF(COUNTIFS($CU$6:$CU$53,CU10,$BC$6:$BC$53,INDEX(T_Equipos[Grupo],MATCH(BD10,T_Equipos[NombreEquipo],0)))=1,"-","P."&amp;CU10&amp;" ("&amp;COUNTIFS($CU$6:$CU$53,CU10,$BC$6:$BC$53,INDEX(T_Equipos[Grupo],MATCH(BD10,T_Equipos[NombreEquipo],0)))&amp;")")</f>
        <v>P.1 (4)</v>
      </c>
      <c r="CW10" s="16">
        <f t="shared" ca="1" si="36"/>
        <v>0</v>
      </c>
      <c r="CX10" s="16">
        <f ca="1">CU10+COUNTIFS($CV$6:$CV$53,CV10,$CW$6:CW$53,"&gt;"&amp;CW10,$BC$6:$BC$53,INDEX(T_Equipos[Grupo],MATCH(BD10,T_Equipos[NombreEquipo],0)))</f>
        <v>1</v>
      </c>
      <c r="CY10" s="16" t="str">
        <f ca="1">IF(COUNTIFS($CX$6:$CX$53,CX10,$BC$6:$BC$53,INDEX(T_Equipos[Grupo],MATCH(BD10,T_Equipos[NombreEquipo],0)))=1,"-","P."&amp;CX10&amp;" ("&amp;COUNTIFS($CX$6:$CX$53,CX10,$BC$6:$BC$53,INDEX(T_Equipos[Grupo],MATCH(BD10,T_Equipos[NombreEquipo],0)))&amp;")")</f>
        <v>P.1 (4)</v>
      </c>
      <c r="CZ10" s="16">
        <f t="shared" ca="1" si="37"/>
        <v>0</v>
      </c>
      <c r="DA10" s="16">
        <f ca="1">CX10+COUNTIFS($CY$6:$CY$53,CY10,$CZ$6:CZ$53,"&gt;"&amp;CZ10,$BC$6:$BC$53,INDEX(T_Equipos[Grupo],MATCH(BD10,T_Equipos[NombreEquipo],0)))</f>
        <v>1</v>
      </c>
      <c r="DB10" s="16" t="str">
        <f ca="1">IF(COUNTIFS($DA$6:$DA$53,DA10,$BC$6:$BC$53,INDEX(T_Equipos[Grupo],MATCH(BD10,T_Equipos[NombreEquipo],0)))=1,"-","P."&amp;DA10&amp;" ("&amp;COUNTIFS($DA$6:$DA$53,DA10,$BC$6:$BC$53,INDEX(T_Equipos[Grupo],MATCH(BD10,T_Equipos[NombreEquipo],0)))&amp;")")</f>
        <v>P.1 (4)</v>
      </c>
      <c r="DC10" s="16">
        <f ca="1">IF(DB10="-","-",COUNTIFS(T_Equipos[Rank],"&lt;"&amp;INDEX(T_Equipos[Rank],MATCH(BD10,T_Equipos[NombreEquipo],0)),$BC$6:$BC$53,INDEX(T_Equipos[Grupo],MATCH(BD10,T_Equipos[NombreEquipo],0)))+1)</f>
        <v>1</v>
      </c>
      <c r="DD10" s="16">
        <f ca="1">DA10+COUNTIFS($DB$6:$DB$53,DB10,$DC$6:DC$53,"&lt;"&amp;DC10,$BC$6:$BC$53,INDEX(T_Equipos[Grupo],MATCH(BD10,T_Equipos[NombreEquipo],0)))</f>
        <v>1</v>
      </c>
      <c r="DE10" s="16"/>
      <c r="DF10" s="16">
        <f t="shared" ref="DF10:DF53" ca="1" si="52">IF(OR(INDEX($AW$6:$AW$97,MATCH($BD10,$AV$6:$AV$97,0))="",DB10="-"),DD10,INDEX($AW$6:$AW$97,MATCH($BD10,$AV$6:$AV$97,0))+DD10/1000)</f>
        <v>1</v>
      </c>
      <c r="DG10" s="16">
        <f ca="1">IF(DB10="-","-",COUNTIFS(DF$6:DF$53,"&lt;"&amp;DF10,$BC$6:$BC$53,INDEX(T_Equipos[Grupo],MATCH(BD10,T_Equipos[NombreEquipo],0))))</f>
        <v>0</v>
      </c>
      <c r="DH10" s="16">
        <f ca="1">DA10+COUNTIFS(DB$6:DB$53,DB10,DG$6:DG$53,"&lt;"&amp;DG10,$BC$6:$BC$53,INDEX(T_Equipos[Grupo],MATCH(BD10,T_Equipos[NombreEquipo],0)))</f>
        <v>1</v>
      </c>
      <c r="DI10" s="16"/>
      <c r="DJ10" s="16">
        <f t="shared" ca="1" si="38"/>
        <v>1</v>
      </c>
      <c r="DK10" s="16">
        <f t="shared" ca="1" si="39"/>
        <v>0</v>
      </c>
      <c r="DL10" s="16">
        <f t="shared" ca="1" si="40"/>
        <v>1</v>
      </c>
      <c r="DM10" s="16" t="str">
        <f t="shared" ca="1" si="46"/>
        <v>1.1</v>
      </c>
      <c r="DN10" s="16" cm="1">
        <f t="array" aca="1" ref="DN10" ca="1">OFFSET(Horarios!$P$3,DJ10-1,0,DL10,1)</f>
        <v>1</v>
      </c>
      <c r="DO10" s="16"/>
      <c r="DP10" s="16" t="s">
        <v>659</v>
      </c>
      <c r="DQ10" s="16" t="str">
        <f t="shared" ca="1" si="47"/>
        <v>Canada</v>
      </c>
    </row>
    <row r="11" spans="1:121" ht="16" customHeight="1" thickBot="1" x14ac:dyDescent="0.25">
      <c r="A11" s="16"/>
      <c r="B11" s="16"/>
      <c r="C11" s="16"/>
      <c r="D11" s="16"/>
      <c r="E11" s="16"/>
      <c r="F11" s="16"/>
      <c r="G11" s="16"/>
      <c r="H11" s="16"/>
      <c r="I11" s="16"/>
      <c r="J11" s="16"/>
      <c r="K11" s="16"/>
      <c r="L11" s="16"/>
      <c r="M11" s="16"/>
      <c r="N11" s="16"/>
      <c r="O11" s="16"/>
      <c r="P11" s="16"/>
      <c r="Q11" s="16"/>
      <c r="R11" s="16"/>
      <c r="S11" s="16"/>
      <c r="T11" s="16"/>
      <c r="U11" s="16"/>
      <c r="V11" s="17"/>
      <c r="W11" s="8"/>
      <c r="X11" s="69" t="str">
        <f>X3</f>
        <v>Date</v>
      </c>
      <c r="Y11" s="69" t="str">
        <f>Y3</f>
        <v>Hour</v>
      </c>
      <c r="Z11" s="55" t="str">
        <f>Z3</f>
        <v>R</v>
      </c>
      <c r="AA11" s="57" t="str">
        <f>AA3</f>
        <v>Home</v>
      </c>
      <c r="AB11" s="56"/>
      <c r="AC11" s="55" t="str">
        <f>AC3</f>
        <v>Goal</v>
      </c>
      <c r="AD11" s="55" t="str">
        <f>AD3</f>
        <v>Goal</v>
      </c>
      <c r="AE11" s="56"/>
      <c r="AF11" s="58" t="str">
        <f>AF3</f>
        <v>Away</v>
      </c>
      <c r="AG11" s="324"/>
      <c r="AH11" s="195"/>
      <c r="AI11" s="179"/>
      <c r="AJ11" s="162"/>
      <c r="AK11" s="600"/>
      <c r="AL11" s="162"/>
      <c r="AM11" s="162"/>
      <c r="AN11" s="162"/>
      <c r="AO11" s="162"/>
      <c r="AP11" s="162"/>
      <c r="AQ11" s="162"/>
      <c r="AR11" s="162"/>
      <c r="AS11" s="162"/>
      <c r="AT11" s="162"/>
      <c r="AU11" s="331"/>
      <c r="AV11" s="188"/>
      <c r="AW11" s="212"/>
      <c r="AX11" s="172"/>
      <c r="AY11" s="154"/>
      <c r="AZ11" s="155"/>
      <c r="BA11" s="176"/>
      <c r="BC11" s="16" t="str">
        <f ca="1">+INDEX(T_Equipos[Grupo],MATCH(WORLDCUP!BD11,T_Equipos[NombreEquipo],0))</f>
        <v>B</v>
      </c>
      <c r="BD11" s="16" t="str">
        <f ca="1">+Equipos!B7</f>
        <v>Bosnia and Herzegovina</v>
      </c>
      <c r="BE11" s="16">
        <f t="shared" ca="1" si="16"/>
        <v>0</v>
      </c>
      <c r="BF11" s="16">
        <f t="shared" ca="1" si="41"/>
        <v>0</v>
      </c>
      <c r="BG11" s="16">
        <f t="shared" ca="1" si="17"/>
        <v>0</v>
      </c>
      <c r="BH11" s="16">
        <f t="shared" ca="1" si="18"/>
        <v>0</v>
      </c>
      <c r="BI11" s="16">
        <f t="shared" ca="1" si="19"/>
        <v>0</v>
      </c>
      <c r="BJ11" s="16">
        <f t="shared" ca="1" si="20"/>
        <v>0</v>
      </c>
      <c r="BK11" s="16">
        <f t="shared" ca="1" si="21"/>
        <v>0</v>
      </c>
      <c r="BL11" s="16">
        <f t="shared" ca="1" si="42"/>
        <v>0</v>
      </c>
      <c r="BM11" s="16" t="str">
        <f t="shared" ca="1" si="22"/>
        <v>2B</v>
      </c>
      <c r="BN11" s="16" t="str">
        <f t="shared" ca="1" si="23"/>
        <v>2B</v>
      </c>
      <c r="BO11" s="16">
        <f t="shared" ca="1" si="43"/>
        <v>0</v>
      </c>
      <c r="BP11" s="16">
        <f ca="1">COUNTIFS($BO$6:$BO$53,"&gt;"&amp;BO11,$BC$6:$BC$53,INDEX(T_Equipos[Grupo],MATCH(BD11,T_Equipos[NombreEquipo],0)))+1</f>
        <v>1</v>
      </c>
      <c r="BQ11" s="16" t="str">
        <f ca="1">IF(COUNTIFS($BP$6:$BP$53,BP11,$BC$6:$BC$53,INDEX(T_Equipos[Grupo],MATCH(BD11,T_Equipos[NombreEquipo],0)))=1,"-","P."&amp;BP11&amp;" ("&amp;COUNTIFS($BP$6:$BP$53,BP11,$BC$6:$BC$53,INDEX(T_Equipos[Grupo],MATCH(BD11,T_Equipos[NombreEquipo],0)))&amp;")")</f>
        <v>P.1 (4)</v>
      </c>
      <c r="BR11" s="16">
        <f t="shared" ca="1" si="44"/>
        <v>0</v>
      </c>
      <c r="BS11" s="16">
        <f ca="1">BP11+COUNTIFS($BQ$6:$BQ$53,BQ11,$BR$6:BR$53,"&gt;"&amp;BR11,$BC$6:$BC$53,INDEX(T_Equipos[Grupo],MATCH(BD11,T_Equipos[NombreEquipo],0)))</f>
        <v>1</v>
      </c>
      <c r="BT11" s="16" t="str">
        <f ca="1">IF(COUNTIFS($BS$6:$BS$53,BS11,$BC$6:$BC$53,INDEX(T_Equipos[Grupo],MATCH(BD11,T_Equipos[NombreEquipo],0)))=1,"-","P."&amp;BS11&amp;" ("&amp;COUNTIFS($BS$6:$BS$53,BS11,$BC$6:$BC$53,INDEX(T_Equipos[Grupo],MATCH(BD11,T_Equipos[NombreEquipo],0)))&amp;")")</f>
        <v>P.1 (4)</v>
      </c>
      <c r="BU11" s="16">
        <f t="shared" ca="1" si="24"/>
        <v>0</v>
      </c>
      <c r="BV11" s="16">
        <f t="shared" ca="1" si="25"/>
        <v>0</v>
      </c>
      <c r="BW11" s="16">
        <f t="shared" ca="1" si="26"/>
        <v>0</v>
      </c>
      <c r="BX11" s="16">
        <f t="shared" ca="1" si="48"/>
        <v>0</v>
      </c>
      <c r="BY11" s="16">
        <f ca="1">BS11+COUNTIFS($BT$6:$BT$53,BT11,$BX$6:BX$53,"&gt;"&amp;BX11,$BC$6:$BC$53,INDEX(T_Equipos[Grupo],MATCH(BD11,T_Equipos[NombreEquipo],0)))</f>
        <v>1</v>
      </c>
      <c r="BZ11" s="16" t="str">
        <f ca="1">IF(COUNTIFS($BY$6:$BY$53,BY11,$BC$6:$BC$53,INDEX(T_Equipos[Grupo],MATCH(BD11,T_Equipos[NombreEquipo],0)))=1,"-","P."&amp;BY11&amp;" ("&amp;COUNTIFS($BY$6:$BY$53,BY11,$BC$6:$BC$53,INDEX(T_Equipos[Grupo],MATCH(BD11,T_Equipos[NombreEquipo],0)))&amp;")")</f>
        <v>P.1 (4)</v>
      </c>
      <c r="CA11" s="16">
        <f t="shared" ca="1" si="27"/>
        <v>0</v>
      </c>
      <c r="CB11" s="16">
        <f t="shared" ca="1" si="28"/>
        <v>0</v>
      </c>
      <c r="CC11" s="16">
        <f t="shared" ca="1" si="49"/>
        <v>0</v>
      </c>
      <c r="CD11" s="16">
        <f ca="1">BY11+COUNTIFS($BZ$6:$BZ$53,BZ11,$CC$6:CC$53,"&gt;"&amp;CC11,$BC$6:$BC$53,INDEX(T_Equipos[Grupo],MATCH(BD11,T_Equipos[NombreEquipo],0)))</f>
        <v>1</v>
      </c>
      <c r="CE11" s="16" t="str">
        <f ca="1">IF(COUNTIFS($CD$6:$CD$53,CD11,$BC$6:$BC$53,INDEX(T_Equipos[Grupo],MATCH(BD11,T_Equipos[NombreEquipo],0)))=1,"-","P."&amp;CD11&amp;" ("&amp;COUNTIFS($CD$6:$CD$53,CD11,$BC$6:$BC$53,INDEX(T_Equipos[Grupo],MATCH(BD11,T_Equipos[NombreEquipo],0)))&amp;")")</f>
        <v>P.1 (4)</v>
      </c>
      <c r="CF11" s="16">
        <f t="shared" ca="1" si="29"/>
        <v>0</v>
      </c>
      <c r="CG11" s="16">
        <f ca="1">CD11+COUNTIFS($CE$6:$CE$53,CE11,$CF$6:CF$53,"&gt;"&amp;CF11,$BC$6:$BC$53,INDEX(T_Equipos[Grupo],MATCH(BD11,T_Equipos[NombreEquipo],0)))</f>
        <v>1</v>
      </c>
      <c r="CH11" s="16" t="str">
        <f ca="1">IF(COUNTIFS($CG$6:$CG$53,CG11,$BC$6:$BC$53,INDEX(T_Equipos[Grupo],MATCH(BD11,T_Equipos[NombreEquipo],0)))=1,"-","P."&amp;CG11&amp;" ("&amp;COUNTIFS($CG$6:$CG$53,CG11,$BC$6:$BC$53,INDEX(T_Equipos[Grupo],MATCH(BD11,T_Equipos[NombreEquipo],0)))&amp;")")</f>
        <v>P.1 (4)</v>
      </c>
      <c r="CI11" s="16">
        <f t="shared" ca="1" si="30"/>
        <v>0</v>
      </c>
      <c r="CJ11" s="16">
        <f t="shared" ca="1" si="31"/>
        <v>0</v>
      </c>
      <c r="CK11" s="16">
        <f t="shared" ca="1" si="32"/>
        <v>0</v>
      </c>
      <c r="CL11" s="16">
        <f t="shared" ca="1" si="50"/>
        <v>0</v>
      </c>
      <c r="CM11" s="16">
        <f ca="1">CG11+COUNTIFS($CH$6:$CH$53,CH11,$CL$6:CL$53,"&gt;"&amp;CL11,$BC$6:$BC$53,INDEX(T_Equipos[Grupo],MATCH(BD11,T_Equipos[NombreEquipo],0)))</f>
        <v>1</v>
      </c>
      <c r="CN11" s="16" t="str">
        <f ca="1">IF(COUNTIFS($CM$6:$CM$53,CM11,$BC$6:$BC$53,INDEX(T_Equipos[Grupo],MATCH(BD11,T_Equipos[NombreEquipo],0)))=1,"-","P."&amp;CM11&amp;" ("&amp;COUNTIFS($CM$6:$CM$53,CM11,$BC$6:$BC$53,INDEX(T_Equipos[Grupo],MATCH(BD11,T_Equipos[NombreEquipo],0)))&amp;")")</f>
        <v>P.1 (4)</v>
      </c>
      <c r="CO11" s="16">
        <f t="shared" ca="1" si="33"/>
        <v>0</v>
      </c>
      <c r="CP11" s="16">
        <f t="shared" ca="1" si="34"/>
        <v>0</v>
      </c>
      <c r="CQ11" s="16">
        <f t="shared" ca="1" si="51"/>
        <v>0</v>
      </c>
      <c r="CR11" s="16">
        <f ca="1">CM11+COUNTIFS($CN$6:$CN$53,CN11,$CQ$6:CQ$53,"&gt;"&amp;CQ11,$BC$6:$BC$53,INDEX(T_Equipos[Grupo],MATCH(BD11,T_Equipos[NombreEquipo],0)))</f>
        <v>1</v>
      </c>
      <c r="CS11" s="16" t="str">
        <f ca="1">IF(COUNTIFS($CR$6:$CR$53,CR11,$BC$6:$BC$53,INDEX(T_Equipos[Grupo],MATCH(BD11,T_Equipos[NombreEquipo],0)))=1,"-","P."&amp;CR11&amp;" ("&amp;COUNTIFS($CR$6:$CR$53,CR11,$BC$6:$BC$53,INDEX(T_Equipos[Grupo],MATCH(BD11,T_Equipos[NombreEquipo],0)))&amp;")")</f>
        <v>P.1 (4)</v>
      </c>
      <c r="CT11" s="16">
        <f t="shared" ca="1" si="35"/>
        <v>0</v>
      </c>
      <c r="CU11" s="16">
        <f ca="1">CR11+COUNTIFS($CS$6:$CS$53,CS11,$CT$6:CT$53,"&gt;"&amp;CT11,$BC$6:$BC$53,INDEX(T_Equipos[Grupo],MATCH(BD11,T_Equipos[NombreEquipo],0)))</f>
        <v>1</v>
      </c>
      <c r="CV11" s="16" t="str">
        <f ca="1">IF(COUNTIFS($CU$6:$CU$53,CU11,$BC$6:$BC$53,INDEX(T_Equipos[Grupo],MATCH(BD11,T_Equipos[NombreEquipo],0)))=1,"-","P."&amp;CU11&amp;" ("&amp;COUNTIFS($CU$6:$CU$53,CU11,$BC$6:$BC$53,INDEX(T_Equipos[Grupo],MATCH(BD11,T_Equipos[NombreEquipo],0)))&amp;")")</f>
        <v>P.1 (4)</v>
      </c>
      <c r="CW11" s="16">
        <f t="shared" ca="1" si="36"/>
        <v>0</v>
      </c>
      <c r="CX11" s="16">
        <f ca="1">CU11+COUNTIFS($CV$6:$CV$53,CV11,$CW$6:CW$53,"&gt;"&amp;CW11,$BC$6:$BC$53,INDEX(T_Equipos[Grupo],MATCH(BD11,T_Equipos[NombreEquipo],0)))</f>
        <v>1</v>
      </c>
      <c r="CY11" s="16" t="str">
        <f ca="1">IF(COUNTIFS($CX$6:$CX$53,CX11,$BC$6:$BC$53,INDEX(T_Equipos[Grupo],MATCH(BD11,T_Equipos[NombreEquipo],0)))=1,"-","P."&amp;CX11&amp;" ("&amp;COUNTIFS($CX$6:$CX$53,CX11,$BC$6:$BC$53,INDEX(T_Equipos[Grupo],MATCH(BD11,T_Equipos[NombreEquipo],0)))&amp;")")</f>
        <v>P.1 (4)</v>
      </c>
      <c r="CZ11" s="16">
        <f t="shared" ca="1" si="37"/>
        <v>0</v>
      </c>
      <c r="DA11" s="16">
        <f ca="1">CX11+COUNTIFS($CY$6:$CY$53,CY11,$CZ$6:CZ$53,"&gt;"&amp;CZ11,$BC$6:$BC$53,INDEX(T_Equipos[Grupo],MATCH(BD11,T_Equipos[NombreEquipo],0)))</f>
        <v>1</v>
      </c>
      <c r="DB11" s="16" t="str">
        <f ca="1">IF(COUNTIFS($DA$6:$DA$53,DA11,$BC$6:$BC$53,INDEX(T_Equipos[Grupo],MATCH(BD11,T_Equipos[NombreEquipo],0)))=1,"-","P."&amp;DA11&amp;" ("&amp;COUNTIFS($DA$6:$DA$53,DA11,$BC$6:$BC$53,INDEX(T_Equipos[Grupo],MATCH(BD11,T_Equipos[NombreEquipo],0)))&amp;")")</f>
        <v>P.1 (4)</v>
      </c>
      <c r="DC11" s="16">
        <f ca="1">IF(DB11="-","-",COUNTIFS(T_Equipos[Rank],"&lt;"&amp;INDEX(T_Equipos[Rank],MATCH(BD11,T_Equipos[NombreEquipo],0)),$BC$6:$BC$53,INDEX(T_Equipos[Grupo],MATCH(BD11,T_Equipos[NombreEquipo],0)))+1)</f>
        <v>2</v>
      </c>
      <c r="DD11" s="16">
        <f ca="1">DA11+COUNTIFS($DB$6:$DB$53,DB11,$DC$6:DC$53,"&lt;"&amp;DC11,$BC$6:$BC$53,INDEX(T_Equipos[Grupo],MATCH(BD11,T_Equipos[NombreEquipo],0)))</f>
        <v>2</v>
      </c>
      <c r="DE11" s="16"/>
      <c r="DF11" s="16">
        <f t="shared" ca="1" si="52"/>
        <v>2</v>
      </c>
      <c r="DG11" s="16">
        <f ca="1">IF(DB11="-","-",COUNTIFS(DF$6:DF$53,"&lt;"&amp;DF11,$BC$6:$BC$53,INDEX(T_Equipos[Grupo],MATCH(BD11,T_Equipos[NombreEquipo],0))))</f>
        <v>1</v>
      </c>
      <c r="DH11" s="16">
        <f ca="1">DA11+COUNTIFS(DB$6:DB$53,DB11,DG$6:DG$53,"&lt;"&amp;DG11,$BC$6:$BC$53,INDEX(T_Equipos[Grupo],MATCH(BD11,T_Equipos[NombreEquipo],0)))</f>
        <v>2</v>
      </c>
      <c r="DI11" s="16"/>
      <c r="DJ11" s="16">
        <f t="shared" ca="1" si="38"/>
        <v>1</v>
      </c>
      <c r="DK11" s="16">
        <f t="shared" ca="1" si="39"/>
        <v>0</v>
      </c>
      <c r="DL11" s="16">
        <f t="shared" ca="1" si="40"/>
        <v>1</v>
      </c>
      <c r="DM11" s="16" t="str">
        <f t="shared" ca="1" si="46"/>
        <v>1.1</v>
      </c>
      <c r="DN11" s="16" cm="1">
        <f t="array" aca="1" ref="DN11" ca="1">OFFSET(Horarios!$P$3,DJ11-1,0,DL11,1)</f>
        <v>1</v>
      </c>
      <c r="DO11" s="16"/>
      <c r="DP11" s="16" t="s">
        <v>660</v>
      </c>
      <c r="DQ11" s="16" t="str">
        <f t="shared" ca="1" si="47"/>
        <v>Bosnia and Herzegovina</v>
      </c>
    </row>
    <row r="12" spans="1:121" ht="16" customHeight="1" thickBot="1" x14ac:dyDescent="0.25">
      <c r="A12" s="16" t="s">
        <v>32</v>
      </c>
      <c r="B12" s="16" t="s">
        <v>1</v>
      </c>
      <c r="C12" s="16">
        <f>COUNTIF(Equipos!$C$2:$C$49,WORLDCUP!B12)</f>
        <v>4</v>
      </c>
      <c r="D12" s="16" t="str">
        <f t="shared" ref="D12:D17" si="53">IF(OR(AC12="",AD12=""),"Pendiente",IF(AC12&gt;AD12,"Local",IF(AC12&lt;AD12,"Visitante","Empate")))</f>
        <v>Pendiente</v>
      </c>
      <c r="E12" s="16" t="str">
        <f t="shared" ref="E12:E17" si="54">IF(D12="Pendiente","-",INDEX($BT$6:$BT$53,MATCH($AA12,$BD$6:$BD$53,0)))</f>
        <v>-</v>
      </c>
      <c r="F12" s="16" t="str">
        <f t="shared" ref="F12:F17" si="55">IF(D12="Pendiente","-",INDEX($BT$6:$BT$53,MATCH($AF12,$BD$6:$BD$53,0)))</f>
        <v>-</v>
      </c>
      <c r="G12" s="16"/>
      <c r="H12" s="16" t="str">
        <f t="shared" ref="H12:H17" si="56">IF(D12="Pendiente","-",INDEX($BZ$6:$BZ$53,MATCH($AA12,$BD$6:$BD$53,0)))</f>
        <v>-</v>
      </c>
      <c r="I12" s="16" t="str">
        <f t="shared" ref="I12:I17" si="57">IF(D12="Pendiente","-",INDEX($BZ$6:$BZ$53,MATCH($AF12,$BD$6:$BD$53,0)))</f>
        <v>-</v>
      </c>
      <c r="J12" s="16"/>
      <c r="K12" s="16" t="str">
        <f t="shared" ref="K12:K17" si="58">IF(D12="Pendiente","-",INDEX($CE$6:$CE$53,MATCH($AA12,$BD$6:$BD$53,0)))</f>
        <v>-</v>
      </c>
      <c r="L12" s="16" t="str">
        <f t="shared" ref="L12:L17" si="59">IF(D12="Pendiente","-",INDEX($CE$6:$CE$53,MATCH($AF12,$BD$6:$BD$53,0)))</f>
        <v>-</v>
      </c>
      <c r="M12" s="16"/>
      <c r="N12" s="16" t="str">
        <f t="shared" ref="N12:N17" si="60">IF(D12="Pendiente","-",INDEX($CH$6:$CH$53,MATCH($AA12,$BD$6:$BD$53,0)))</f>
        <v>-</v>
      </c>
      <c r="O12" s="16" t="str">
        <f t="shared" ref="O12:O17" si="61">IF(D12="Pendiente","-",INDEX($CH$6:$CH$53,MATCH($AF12,$BD$6:$BD$53,0)))</f>
        <v>-</v>
      </c>
      <c r="P12" s="16"/>
      <c r="Q12" s="16" t="str">
        <f t="shared" ref="Q12:Q17" si="62">IF(D12="Pendiente","-",INDEX($CN$6:$CN$53,MATCH($AA12,$BD$6:$BD$53,0)))</f>
        <v>-</v>
      </c>
      <c r="R12" s="16" t="str">
        <f t="shared" ref="R12:R17" si="63">IF(D12="Pendiente","-",INDEX($CN$6:$CN$53,MATCH($AF12,$BD$6:$BD$53,0)))</f>
        <v>-</v>
      </c>
      <c r="S12" s="16"/>
      <c r="T12" s="16" t="str">
        <f t="shared" ref="T12:T17" si="64">IF(D12="Pendiente","-",INDEX($CS$6:$CS$53,MATCH($AA12,$BD$6:$BD$53,0)))</f>
        <v>-</v>
      </c>
      <c r="U12" s="16" t="str">
        <f t="shared" ref="U12:U17" si="65">IF(D12="Pendiente","-",INDEX($CS$6:$CS$53,MATCH($AF12,$BD$6:$BD$53,0)))</f>
        <v>-</v>
      </c>
      <c r="V12" s="17"/>
      <c r="W12" s="640" t="s">
        <v>1</v>
      </c>
      <c r="X12" s="24">
        <f ca="1">Horarios!C12</f>
        <v>46185.625</v>
      </c>
      <c r="Y12" s="25">
        <f ca="1">Horarios!C12</f>
        <v>46185.625</v>
      </c>
      <c r="Z12" s="26" t="str">
        <f>$Z$4</f>
        <v>R1</v>
      </c>
      <c r="AA12" s="27" t="str">
        <f ca="1">A13</f>
        <v>Canada</v>
      </c>
      <c r="AB12" s="49" t="str" cm="1">
        <f t="array" aca="1" ref="AB12" ca="1">Ver_flag_local</f>
        <v>🇨🇦</v>
      </c>
      <c r="AC12" s="50"/>
      <c r="AD12" s="51"/>
      <c r="AE12" s="595" t="str" cm="1">
        <f t="array" aca="1" ref="AE12" ca="1">Ver_flag_visit</f>
        <v>🇧🇦</v>
      </c>
      <c r="AF12" s="32" t="str">
        <f ca="1">A14</f>
        <v>Bosnia and Herzegovina</v>
      </c>
      <c r="AG12" s="323">
        <f t="shared" ref="AG12:AG17" si="66">IF(NOT(OR(ISBLANK(AC12),ISBLANK(AD12))),1,0)</f>
        <v>0</v>
      </c>
      <c r="AH12" s="195">
        <v>3</v>
      </c>
      <c r="AI12" s="181"/>
      <c r="AJ12" s="59" t="str">
        <f>CONCATENATE(AJ3," ",B12)</f>
        <v>Group B</v>
      </c>
      <c r="AK12" s="60"/>
      <c r="AL12" s="60"/>
      <c r="AM12" s="60"/>
      <c r="AN12" s="60"/>
      <c r="AO12" s="60"/>
      <c r="AP12" s="60"/>
      <c r="AQ12" s="60"/>
      <c r="AR12" s="60"/>
      <c r="AS12" s="60"/>
      <c r="AT12" s="61"/>
      <c r="AU12" s="331"/>
      <c r="AV12" s="286" t="str">
        <f ca="1">IF(AU13&gt;0,$AV$3,"")</f>
        <v/>
      </c>
      <c r="AW12" s="173"/>
      <c r="AX12" s="173"/>
      <c r="AY12" s="154"/>
      <c r="AZ12" s="155"/>
      <c r="BA12" s="176"/>
      <c r="BC12" s="16" t="str">
        <f ca="1">+INDEX(T_Equipos[Grupo],MATCH(WORLDCUP!BD12,T_Equipos[NombreEquipo],0))</f>
        <v>B</v>
      </c>
      <c r="BD12" s="16" t="str">
        <f ca="1">+Equipos!B8</f>
        <v>Qatar</v>
      </c>
      <c r="BE12" s="16">
        <f t="shared" ca="1" si="16"/>
        <v>0</v>
      </c>
      <c r="BF12" s="16">
        <f t="shared" ca="1" si="41"/>
        <v>0</v>
      </c>
      <c r="BG12" s="16">
        <f t="shared" ca="1" si="17"/>
        <v>0</v>
      </c>
      <c r="BH12" s="16">
        <f t="shared" ca="1" si="18"/>
        <v>0</v>
      </c>
      <c r="BI12" s="16">
        <f t="shared" ca="1" si="19"/>
        <v>0</v>
      </c>
      <c r="BJ12" s="16">
        <f t="shared" ca="1" si="20"/>
        <v>0</v>
      </c>
      <c r="BK12" s="16">
        <f t="shared" ca="1" si="21"/>
        <v>0</v>
      </c>
      <c r="BL12" s="16">
        <f t="shared" ca="1" si="42"/>
        <v>0</v>
      </c>
      <c r="BM12" s="16" t="str">
        <f t="shared" ca="1" si="22"/>
        <v>3B</v>
      </c>
      <c r="BN12" s="16" t="str">
        <f t="shared" ca="1" si="23"/>
        <v>3B</v>
      </c>
      <c r="BO12" s="16">
        <f t="shared" ca="1" si="43"/>
        <v>0</v>
      </c>
      <c r="BP12" s="16">
        <f ca="1">COUNTIFS($BO$6:$BO$53,"&gt;"&amp;BO12,$BC$6:$BC$53,INDEX(T_Equipos[Grupo],MATCH(BD12,T_Equipos[NombreEquipo],0)))+1</f>
        <v>1</v>
      </c>
      <c r="BQ12" s="16" t="str">
        <f ca="1">IF(COUNTIFS($BP$6:$BP$53,BP12,$BC$6:$BC$53,INDEX(T_Equipos[Grupo],MATCH(BD12,T_Equipos[NombreEquipo],0)))=1,"-","P."&amp;BP12&amp;" ("&amp;COUNTIFS($BP$6:$BP$53,BP12,$BC$6:$BC$53,INDEX(T_Equipos[Grupo],MATCH(BD12,T_Equipos[NombreEquipo],0)))&amp;")")</f>
        <v>P.1 (4)</v>
      </c>
      <c r="BR12" s="16">
        <f t="shared" ca="1" si="44"/>
        <v>0</v>
      </c>
      <c r="BS12" s="16">
        <f ca="1">BP12+COUNTIFS($BQ$6:$BQ$53,BQ12,$BR$6:BR$53,"&gt;"&amp;BR12,$BC$6:$BC$53,INDEX(T_Equipos[Grupo],MATCH(BD12,T_Equipos[NombreEquipo],0)))</f>
        <v>1</v>
      </c>
      <c r="BT12" s="16" t="str">
        <f ca="1">IF(COUNTIFS($BS$6:$BS$53,BS12,$BC$6:$BC$53,INDEX(T_Equipos[Grupo],MATCH(BD12,T_Equipos[NombreEquipo],0)))=1,"-","P."&amp;BS12&amp;" ("&amp;COUNTIFS($BS$6:$BS$53,BS12,$BC$6:$BC$53,INDEX(T_Equipos[Grupo],MATCH(BD12,T_Equipos[NombreEquipo],0)))&amp;")")</f>
        <v>P.1 (4)</v>
      </c>
      <c r="BU12" s="16">
        <f t="shared" ca="1" si="24"/>
        <v>0</v>
      </c>
      <c r="BV12" s="16">
        <f t="shared" ca="1" si="25"/>
        <v>0</v>
      </c>
      <c r="BW12" s="16">
        <f t="shared" ca="1" si="26"/>
        <v>0</v>
      </c>
      <c r="BX12" s="16">
        <f t="shared" ca="1" si="48"/>
        <v>0</v>
      </c>
      <c r="BY12" s="16">
        <f ca="1">BS12+COUNTIFS($BT$6:$BT$53,BT12,$BX$6:BX$53,"&gt;"&amp;BX12,$BC$6:$BC$53,INDEX(T_Equipos[Grupo],MATCH(BD12,T_Equipos[NombreEquipo],0)))</f>
        <v>1</v>
      </c>
      <c r="BZ12" s="16" t="str">
        <f ca="1">IF(COUNTIFS($BY$6:$BY$53,BY12,$BC$6:$BC$53,INDEX(T_Equipos[Grupo],MATCH(BD12,T_Equipos[NombreEquipo],0)))=1,"-","P."&amp;BY12&amp;" ("&amp;COUNTIFS($BY$6:$BY$53,BY12,$BC$6:$BC$53,INDEX(T_Equipos[Grupo],MATCH(BD12,T_Equipos[NombreEquipo],0)))&amp;")")</f>
        <v>P.1 (4)</v>
      </c>
      <c r="CA12" s="16">
        <f t="shared" ca="1" si="27"/>
        <v>0</v>
      </c>
      <c r="CB12" s="16">
        <f t="shared" ca="1" si="28"/>
        <v>0</v>
      </c>
      <c r="CC12" s="16">
        <f t="shared" ca="1" si="49"/>
        <v>0</v>
      </c>
      <c r="CD12" s="16">
        <f ca="1">BY12+COUNTIFS($BZ$6:$BZ$53,BZ12,$CC$6:CC$53,"&gt;"&amp;CC12,$BC$6:$BC$53,INDEX(T_Equipos[Grupo],MATCH(BD12,T_Equipos[NombreEquipo],0)))</f>
        <v>1</v>
      </c>
      <c r="CE12" s="16" t="str">
        <f ca="1">IF(COUNTIFS($CD$6:$CD$53,CD12,$BC$6:$BC$53,INDEX(T_Equipos[Grupo],MATCH(BD12,T_Equipos[NombreEquipo],0)))=1,"-","P."&amp;CD12&amp;" ("&amp;COUNTIFS($CD$6:$CD$53,CD12,$BC$6:$BC$53,INDEX(T_Equipos[Grupo],MATCH(BD12,T_Equipos[NombreEquipo],0)))&amp;")")</f>
        <v>P.1 (4)</v>
      </c>
      <c r="CF12" s="16">
        <f t="shared" ca="1" si="29"/>
        <v>0</v>
      </c>
      <c r="CG12" s="16">
        <f ca="1">CD12+COUNTIFS($CE$6:$CE$53,CE12,$CF$6:CF$53,"&gt;"&amp;CF12,$BC$6:$BC$53,INDEX(T_Equipos[Grupo],MATCH(BD12,T_Equipos[NombreEquipo],0)))</f>
        <v>1</v>
      </c>
      <c r="CH12" s="16" t="str">
        <f ca="1">IF(COUNTIFS($CG$6:$CG$53,CG12,$BC$6:$BC$53,INDEX(T_Equipos[Grupo],MATCH(BD12,T_Equipos[NombreEquipo],0)))=1,"-","P."&amp;CG12&amp;" ("&amp;COUNTIFS($CG$6:$CG$53,CG12,$BC$6:$BC$53,INDEX(T_Equipos[Grupo],MATCH(BD12,T_Equipos[NombreEquipo],0)))&amp;")")</f>
        <v>P.1 (4)</v>
      </c>
      <c r="CI12" s="16">
        <f t="shared" ca="1" si="30"/>
        <v>0</v>
      </c>
      <c r="CJ12" s="16">
        <f t="shared" ca="1" si="31"/>
        <v>0</v>
      </c>
      <c r="CK12" s="16">
        <f t="shared" ca="1" si="32"/>
        <v>0</v>
      </c>
      <c r="CL12" s="16">
        <f t="shared" ca="1" si="50"/>
        <v>0</v>
      </c>
      <c r="CM12" s="16">
        <f ca="1">CG12+COUNTIFS($CH$6:$CH$53,CH12,$CL$6:CL$53,"&gt;"&amp;CL12,$BC$6:$BC$53,INDEX(T_Equipos[Grupo],MATCH(BD12,T_Equipos[NombreEquipo],0)))</f>
        <v>1</v>
      </c>
      <c r="CN12" s="16" t="str">
        <f ca="1">IF(COUNTIFS($CM$6:$CM$53,CM12,$BC$6:$BC$53,INDEX(T_Equipos[Grupo],MATCH(BD12,T_Equipos[NombreEquipo],0)))=1,"-","P."&amp;CM12&amp;" ("&amp;COUNTIFS($CM$6:$CM$53,CM12,$BC$6:$BC$53,INDEX(T_Equipos[Grupo],MATCH(BD12,T_Equipos[NombreEquipo],0)))&amp;")")</f>
        <v>P.1 (4)</v>
      </c>
      <c r="CO12" s="16">
        <f t="shared" ca="1" si="33"/>
        <v>0</v>
      </c>
      <c r="CP12" s="16">
        <f t="shared" ca="1" si="34"/>
        <v>0</v>
      </c>
      <c r="CQ12" s="16">
        <f t="shared" ca="1" si="51"/>
        <v>0</v>
      </c>
      <c r="CR12" s="16">
        <f ca="1">CM12+COUNTIFS($CN$6:$CN$53,CN12,$CQ$6:CQ$53,"&gt;"&amp;CQ12,$BC$6:$BC$53,INDEX(T_Equipos[Grupo],MATCH(BD12,T_Equipos[NombreEquipo],0)))</f>
        <v>1</v>
      </c>
      <c r="CS12" s="16" t="str">
        <f ca="1">IF(COUNTIFS($CR$6:$CR$53,CR12,$BC$6:$BC$53,INDEX(T_Equipos[Grupo],MATCH(BD12,T_Equipos[NombreEquipo],0)))=1,"-","P."&amp;CR12&amp;" ("&amp;COUNTIFS($CR$6:$CR$53,CR12,$BC$6:$BC$53,INDEX(T_Equipos[Grupo],MATCH(BD12,T_Equipos[NombreEquipo],0)))&amp;")")</f>
        <v>P.1 (4)</v>
      </c>
      <c r="CT12" s="16">
        <f t="shared" ca="1" si="35"/>
        <v>0</v>
      </c>
      <c r="CU12" s="16">
        <f ca="1">CR12+COUNTIFS($CS$6:$CS$53,CS12,$CT$6:CT$53,"&gt;"&amp;CT12,$BC$6:$BC$53,INDEX(T_Equipos[Grupo],MATCH(BD12,T_Equipos[NombreEquipo],0)))</f>
        <v>1</v>
      </c>
      <c r="CV12" s="16" t="str">
        <f ca="1">IF(COUNTIFS($CU$6:$CU$53,CU12,$BC$6:$BC$53,INDEX(T_Equipos[Grupo],MATCH(BD12,T_Equipos[NombreEquipo],0)))=1,"-","P."&amp;CU12&amp;" ("&amp;COUNTIFS($CU$6:$CU$53,CU12,$BC$6:$BC$53,INDEX(T_Equipos[Grupo],MATCH(BD12,T_Equipos[NombreEquipo],0)))&amp;")")</f>
        <v>P.1 (4)</v>
      </c>
      <c r="CW12" s="16">
        <f t="shared" ca="1" si="36"/>
        <v>0</v>
      </c>
      <c r="CX12" s="16">
        <f ca="1">CU12+COUNTIFS($CV$6:$CV$53,CV12,$CW$6:CW$53,"&gt;"&amp;CW12,$BC$6:$BC$53,INDEX(T_Equipos[Grupo],MATCH(BD12,T_Equipos[NombreEquipo],0)))</f>
        <v>1</v>
      </c>
      <c r="CY12" s="16" t="str">
        <f ca="1">IF(COUNTIFS($CX$6:$CX$53,CX12,$BC$6:$BC$53,INDEX(T_Equipos[Grupo],MATCH(BD12,T_Equipos[NombreEquipo],0)))=1,"-","P."&amp;CX12&amp;" ("&amp;COUNTIFS($CX$6:$CX$53,CX12,$BC$6:$BC$53,INDEX(T_Equipos[Grupo],MATCH(BD12,T_Equipos[NombreEquipo],0)))&amp;")")</f>
        <v>P.1 (4)</v>
      </c>
      <c r="CZ12" s="16">
        <f t="shared" ca="1" si="37"/>
        <v>0</v>
      </c>
      <c r="DA12" s="16">
        <f ca="1">CX12+COUNTIFS($CY$6:$CY$53,CY12,$CZ$6:CZ$53,"&gt;"&amp;CZ12,$BC$6:$BC$53,INDEX(T_Equipos[Grupo],MATCH(BD12,T_Equipos[NombreEquipo],0)))</f>
        <v>1</v>
      </c>
      <c r="DB12" s="16" t="str">
        <f ca="1">IF(COUNTIFS($DA$6:$DA$53,DA12,$BC$6:$BC$53,INDEX(T_Equipos[Grupo],MATCH(BD12,T_Equipos[NombreEquipo],0)))=1,"-","P."&amp;DA12&amp;" ("&amp;COUNTIFS($DA$6:$DA$53,DA12,$BC$6:$BC$53,INDEX(T_Equipos[Grupo],MATCH(BD12,T_Equipos[NombreEquipo],0)))&amp;")")</f>
        <v>P.1 (4)</v>
      </c>
      <c r="DC12" s="16">
        <f ca="1">IF(DB12="-","-",COUNTIFS(T_Equipos[Rank],"&lt;"&amp;INDEX(T_Equipos[Rank],MATCH(BD12,T_Equipos[NombreEquipo],0)),$BC$6:$BC$53,INDEX(T_Equipos[Grupo],MATCH(BD12,T_Equipos[NombreEquipo],0)))+1)</f>
        <v>3</v>
      </c>
      <c r="DD12" s="16">
        <f ca="1">DA12+COUNTIFS($DB$6:$DB$53,DB12,$DC$6:DC$53,"&lt;"&amp;DC12,$BC$6:$BC$53,INDEX(T_Equipos[Grupo],MATCH(BD12,T_Equipos[NombreEquipo],0)))</f>
        <v>3</v>
      </c>
      <c r="DE12" s="16"/>
      <c r="DF12" s="16">
        <f t="shared" ca="1" si="52"/>
        <v>3</v>
      </c>
      <c r="DG12" s="16">
        <f ca="1">IF(DB12="-","-",COUNTIFS(DF$6:DF$53,"&lt;"&amp;DF12,$BC$6:$BC$53,INDEX(T_Equipos[Grupo],MATCH(BD12,T_Equipos[NombreEquipo],0))))</f>
        <v>2</v>
      </c>
      <c r="DH12" s="16">
        <f ca="1">DA12+COUNTIFS(DB$6:DB$53,DB12,DG$6:DG$53,"&lt;"&amp;DG12,$BC$6:$BC$53,INDEX(T_Equipos[Grupo],MATCH(BD12,T_Equipos[NombreEquipo],0)))</f>
        <v>3</v>
      </c>
      <c r="DI12" s="16"/>
      <c r="DJ12" s="16">
        <f t="shared" ca="1" si="38"/>
        <v>1</v>
      </c>
      <c r="DK12" s="16">
        <f t="shared" ca="1" si="39"/>
        <v>0</v>
      </c>
      <c r="DL12" s="16">
        <f t="shared" ca="1" si="40"/>
        <v>1</v>
      </c>
      <c r="DM12" s="16" t="str">
        <f t="shared" ca="1" si="46"/>
        <v>1.1</v>
      </c>
      <c r="DN12" s="16" cm="1">
        <f t="array" aca="1" ref="DN12" ca="1">OFFSET(Horarios!$P$3,DJ12-1,0,DL12,1)</f>
        <v>1</v>
      </c>
      <c r="DO12" s="16"/>
      <c r="DP12" s="16" t="s">
        <v>91</v>
      </c>
      <c r="DQ12" s="16" t="str">
        <f t="shared" ca="1" si="47"/>
        <v>Qatar</v>
      </c>
    </row>
    <row r="13" spans="1:121" ht="16" customHeight="1" x14ac:dyDescent="0.2">
      <c r="A13" s="16" t="str">
        <f ca="1">+Equipos!B6</f>
        <v>Canada</v>
      </c>
      <c r="B13" s="16"/>
      <c r="C13" s="16"/>
      <c r="D13" s="16" t="str">
        <f t="shared" si="53"/>
        <v>Pendiente</v>
      </c>
      <c r="E13" s="16" t="str">
        <f t="shared" si="54"/>
        <v>-</v>
      </c>
      <c r="F13" s="16" t="str">
        <f t="shared" si="55"/>
        <v>-</v>
      </c>
      <c r="G13" s="16"/>
      <c r="H13" s="16" t="str">
        <f t="shared" si="56"/>
        <v>-</v>
      </c>
      <c r="I13" s="16" t="str">
        <f t="shared" si="57"/>
        <v>-</v>
      </c>
      <c r="J13" s="16"/>
      <c r="K13" s="16" t="str">
        <f t="shared" si="58"/>
        <v>-</v>
      </c>
      <c r="L13" s="16" t="str">
        <f t="shared" si="59"/>
        <v>-</v>
      </c>
      <c r="M13" s="16"/>
      <c r="N13" s="16" t="str">
        <f t="shared" si="60"/>
        <v>-</v>
      </c>
      <c r="O13" s="16" t="str">
        <f t="shared" si="61"/>
        <v>-</v>
      </c>
      <c r="P13" s="16"/>
      <c r="Q13" s="16" t="str">
        <f t="shared" si="62"/>
        <v>-</v>
      </c>
      <c r="R13" s="16" t="str">
        <f t="shared" si="63"/>
        <v>-</v>
      </c>
      <c r="S13" s="16"/>
      <c r="T13" s="16" t="str">
        <f t="shared" si="64"/>
        <v>-</v>
      </c>
      <c r="U13" s="16" t="str">
        <f t="shared" si="65"/>
        <v>-</v>
      </c>
      <c r="V13" s="17"/>
      <c r="W13" s="640"/>
      <c r="X13" s="24">
        <f ca="1">Horarios!C13</f>
        <v>46186.625</v>
      </c>
      <c r="Y13" s="25">
        <f ca="1">Horarios!C13</f>
        <v>46186.625</v>
      </c>
      <c r="Z13" s="26" t="str">
        <f>$Z$4</f>
        <v>R1</v>
      </c>
      <c r="AA13" s="27" t="str">
        <f ca="1">A15</f>
        <v>Qatar</v>
      </c>
      <c r="AB13" s="49" t="str" cm="1">
        <f t="array" aca="1" ref="AB13" ca="1">Ver_flag_local</f>
        <v>🇶🇦</v>
      </c>
      <c r="AC13" s="50"/>
      <c r="AD13" s="51"/>
      <c r="AE13" s="595" t="str" cm="1">
        <f t="array" aca="1" ref="AE13" ca="1">Ver_flag_visit</f>
        <v>🇨🇭</v>
      </c>
      <c r="AF13" s="32" t="str">
        <f ca="1">A16</f>
        <v>Switzerland</v>
      </c>
      <c r="AG13" s="323">
        <f t="shared" si="66"/>
        <v>0</v>
      </c>
      <c r="AH13" s="195">
        <v>8</v>
      </c>
      <c r="AI13" s="181"/>
      <c r="AJ13" s="62" t="str">
        <f>AJ5</f>
        <v>Pos</v>
      </c>
      <c r="AK13" s="63"/>
      <c r="AL13" s="64" t="str">
        <f t="shared" ref="AL13:AT13" si="67">AL5</f>
        <v>Nation</v>
      </c>
      <c r="AM13" s="63" t="str">
        <f t="shared" si="67"/>
        <v>Pts</v>
      </c>
      <c r="AN13" s="63" t="str">
        <f t="shared" si="67"/>
        <v>P</v>
      </c>
      <c r="AO13" s="63" t="str">
        <f t="shared" si="67"/>
        <v>W</v>
      </c>
      <c r="AP13" s="63" t="str">
        <f t="shared" si="67"/>
        <v>D</v>
      </c>
      <c r="AQ13" s="63" t="str">
        <f t="shared" si="67"/>
        <v>L</v>
      </c>
      <c r="AR13" s="63" t="str">
        <f t="shared" si="67"/>
        <v>F</v>
      </c>
      <c r="AS13" s="63" t="str">
        <f t="shared" si="67"/>
        <v>A</v>
      </c>
      <c r="AT13" s="65" t="str">
        <f t="shared" si="67"/>
        <v>GD</v>
      </c>
      <c r="AU13" s="331">
        <f t="shared" ref="AU13" ca="1" si="68">COUNTIF(AU14:AU17,"&gt;1")</f>
        <v>0</v>
      </c>
      <c r="AV13" s="192"/>
      <c r="AW13" s="167"/>
      <c r="AX13" s="167"/>
      <c r="AY13" s="207" t="str">
        <f>AL13</f>
        <v>Nation</v>
      </c>
      <c r="AZ13" s="208" t="str">
        <f>+Idiomas!$D$67</f>
        <v>Deducted Points</v>
      </c>
      <c r="BA13" s="176"/>
      <c r="BC13" s="16" t="str">
        <f ca="1">+INDEX(T_Equipos[Grupo],MATCH(WORLDCUP!BD13,T_Equipos[NombreEquipo],0))</f>
        <v>B</v>
      </c>
      <c r="BD13" s="16" t="str">
        <f ca="1">+Equipos!B9</f>
        <v>Switzerland</v>
      </c>
      <c r="BE13" s="16">
        <f t="shared" ca="1" si="16"/>
        <v>0</v>
      </c>
      <c r="BF13" s="16">
        <f t="shared" ca="1" si="41"/>
        <v>0</v>
      </c>
      <c r="BG13" s="16">
        <f t="shared" ca="1" si="17"/>
        <v>0</v>
      </c>
      <c r="BH13" s="16">
        <f t="shared" ca="1" si="18"/>
        <v>0</v>
      </c>
      <c r="BI13" s="16">
        <f t="shared" ca="1" si="19"/>
        <v>0</v>
      </c>
      <c r="BJ13" s="16">
        <f t="shared" ca="1" si="20"/>
        <v>0</v>
      </c>
      <c r="BK13" s="16">
        <f t="shared" ca="1" si="21"/>
        <v>0</v>
      </c>
      <c r="BL13" s="16">
        <f t="shared" ca="1" si="42"/>
        <v>0</v>
      </c>
      <c r="BM13" s="16" t="str">
        <f t="shared" ca="1" si="22"/>
        <v>4B</v>
      </c>
      <c r="BN13" s="16" t="str">
        <f t="shared" ca="1" si="23"/>
        <v>4B</v>
      </c>
      <c r="BO13" s="16">
        <f t="shared" ca="1" si="43"/>
        <v>0</v>
      </c>
      <c r="BP13" s="16">
        <f ca="1">COUNTIFS($BO$6:$BO$53,"&gt;"&amp;BO13,$BC$6:$BC$53,INDEX(T_Equipos[Grupo],MATCH(BD13,T_Equipos[NombreEquipo],0)))+1</f>
        <v>1</v>
      </c>
      <c r="BQ13" s="16" t="str">
        <f ca="1">IF(COUNTIFS($BP$6:$BP$53,BP13,$BC$6:$BC$53,INDEX(T_Equipos[Grupo],MATCH(BD13,T_Equipos[NombreEquipo],0)))=1,"-","P."&amp;BP13&amp;" ("&amp;COUNTIFS($BP$6:$BP$53,BP13,$BC$6:$BC$53,INDEX(T_Equipos[Grupo],MATCH(BD13,T_Equipos[NombreEquipo],0)))&amp;")")</f>
        <v>P.1 (4)</v>
      </c>
      <c r="BR13" s="16">
        <f t="shared" ca="1" si="44"/>
        <v>0</v>
      </c>
      <c r="BS13" s="16">
        <f ca="1">BP13+COUNTIFS($BQ$6:$BQ$53,BQ13,$BR$6:BR$53,"&gt;"&amp;BR13,$BC$6:$BC$53,INDEX(T_Equipos[Grupo],MATCH(BD13,T_Equipos[NombreEquipo],0)))</f>
        <v>1</v>
      </c>
      <c r="BT13" s="16" t="str">
        <f ca="1">IF(COUNTIFS($BS$6:$BS$53,BS13,$BC$6:$BC$53,INDEX(T_Equipos[Grupo],MATCH(BD13,T_Equipos[NombreEquipo],0)))=1,"-","P."&amp;BS13&amp;" ("&amp;COUNTIFS($BS$6:$BS$53,BS13,$BC$6:$BC$53,INDEX(T_Equipos[Grupo],MATCH(BD13,T_Equipos[NombreEquipo],0)))&amp;")")</f>
        <v>P.1 (4)</v>
      </c>
      <c r="BU13" s="16">
        <f t="shared" ca="1" si="24"/>
        <v>0</v>
      </c>
      <c r="BV13" s="16">
        <f t="shared" ca="1" si="25"/>
        <v>0</v>
      </c>
      <c r="BW13" s="16">
        <f t="shared" ca="1" si="26"/>
        <v>0</v>
      </c>
      <c r="BX13" s="16">
        <f t="shared" ca="1" si="48"/>
        <v>0</v>
      </c>
      <c r="BY13" s="16">
        <f ca="1">BS13+COUNTIFS($BT$6:$BT$53,BT13,$BX$6:BX$53,"&gt;"&amp;BX13,$BC$6:$BC$53,INDEX(T_Equipos[Grupo],MATCH(BD13,T_Equipos[NombreEquipo],0)))</f>
        <v>1</v>
      </c>
      <c r="BZ13" s="16" t="str">
        <f ca="1">IF(COUNTIFS($BY$6:$BY$53,BY13,$BC$6:$BC$53,INDEX(T_Equipos[Grupo],MATCH(BD13,T_Equipos[NombreEquipo],0)))=1,"-","P."&amp;BY13&amp;" ("&amp;COUNTIFS($BY$6:$BY$53,BY13,$BC$6:$BC$53,INDEX(T_Equipos[Grupo],MATCH(BD13,T_Equipos[NombreEquipo],0)))&amp;")")</f>
        <v>P.1 (4)</v>
      </c>
      <c r="CA13" s="16">
        <f t="shared" ca="1" si="27"/>
        <v>0</v>
      </c>
      <c r="CB13" s="16">
        <f t="shared" ca="1" si="28"/>
        <v>0</v>
      </c>
      <c r="CC13" s="16">
        <f t="shared" ca="1" si="49"/>
        <v>0</v>
      </c>
      <c r="CD13" s="16">
        <f ca="1">BY13+COUNTIFS($BZ$6:$BZ$53,BZ13,$CC$6:CC$53,"&gt;"&amp;CC13,$BC$6:$BC$53,INDEX(T_Equipos[Grupo],MATCH(BD13,T_Equipos[NombreEquipo],0)))</f>
        <v>1</v>
      </c>
      <c r="CE13" s="16" t="str">
        <f ca="1">IF(COUNTIFS($CD$6:$CD$53,CD13,$BC$6:$BC$53,INDEX(T_Equipos[Grupo],MATCH(BD13,T_Equipos[NombreEquipo],0)))=1,"-","P."&amp;CD13&amp;" ("&amp;COUNTIFS($CD$6:$CD$53,CD13,$BC$6:$BC$53,INDEX(T_Equipos[Grupo],MATCH(BD13,T_Equipos[NombreEquipo],0)))&amp;")")</f>
        <v>P.1 (4)</v>
      </c>
      <c r="CF13" s="16">
        <f t="shared" ca="1" si="29"/>
        <v>0</v>
      </c>
      <c r="CG13" s="16">
        <f ca="1">CD13+COUNTIFS($CE$6:$CE$53,CE13,$CF$6:CF$53,"&gt;"&amp;CF13,$BC$6:$BC$53,INDEX(T_Equipos[Grupo],MATCH(BD13,T_Equipos[NombreEquipo],0)))</f>
        <v>1</v>
      </c>
      <c r="CH13" s="16" t="str">
        <f ca="1">IF(COUNTIFS($CG$6:$CG$53,CG13,$BC$6:$BC$53,INDEX(T_Equipos[Grupo],MATCH(BD13,T_Equipos[NombreEquipo],0)))=1,"-","P."&amp;CG13&amp;" ("&amp;COUNTIFS($CG$6:$CG$53,CG13,$BC$6:$BC$53,INDEX(T_Equipos[Grupo],MATCH(BD13,T_Equipos[NombreEquipo],0)))&amp;")")</f>
        <v>P.1 (4)</v>
      </c>
      <c r="CI13" s="16">
        <f t="shared" ca="1" si="30"/>
        <v>0</v>
      </c>
      <c r="CJ13" s="16">
        <f t="shared" ca="1" si="31"/>
        <v>0</v>
      </c>
      <c r="CK13" s="16">
        <f t="shared" ca="1" si="32"/>
        <v>0</v>
      </c>
      <c r="CL13" s="16">
        <f t="shared" ca="1" si="50"/>
        <v>0</v>
      </c>
      <c r="CM13" s="16">
        <f ca="1">CG13+COUNTIFS($CH$6:$CH$53,CH13,$CL$6:CL$53,"&gt;"&amp;CL13,$BC$6:$BC$53,INDEX(T_Equipos[Grupo],MATCH(BD13,T_Equipos[NombreEquipo],0)))</f>
        <v>1</v>
      </c>
      <c r="CN13" s="16" t="str">
        <f ca="1">IF(COUNTIFS($CM$6:$CM$53,CM13,$BC$6:$BC$53,INDEX(T_Equipos[Grupo],MATCH(BD13,T_Equipos[NombreEquipo],0)))=1,"-","P."&amp;CM13&amp;" ("&amp;COUNTIFS($CM$6:$CM$53,CM13,$BC$6:$BC$53,INDEX(T_Equipos[Grupo],MATCH(BD13,T_Equipos[NombreEquipo],0)))&amp;")")</f>
        <v>P.1 (4)</v>
      </c>
      <c r="CO13" s="16">
        <f t="shared" ca="1" si="33"/>
        <v>0</v>
      </c>
      <c r="CP13" s="16">
        <f t="shared" ca="1" si="34"/>
        <v>0</v>
      </c>
      <c r="CQ13" s="16">
        <f t="shared" ca="1" si="51"/>
        <v>0</v>
      </c>
      <c r="CR13" s="16">
        <f ca="1">CM13+COUNTIFS($CN$6:$CN$53,CN13,$CQ$6:CQ$53,"&gt;"&amp;CQ13,$BC$6:$BC$53,INDEX(T_Equipos[Grupo],MATCH(BD13,T_Equipos[NombreEquipo],0)))</f>
        <v>1</v>
      </c>
      <c r="CS13" s="16" t="str">
        <f ca="1">IF(COUNTIFS($CR$6:$CR$53,CR13,$BC$6:$BC$53,INDEX(T_Equipos[Grupo],MATCH(BD13,T_Equipos[NombreEquipo],0)))=1,"-","P."&amp;CR13&amp;" ("&amp;COUNTIFS($CR$6:$CR$53,CR13,$BC$6:$BC$53,INDEX(T_Equipos[Grupo],MATCH(BD13,T_Equipos[NombreEquipo],0)))&amp;")")</f>
        <v>P.1 (4)</v>
      </c>
      <c r="CT13" s="16">
        <f t="shared" ca="1" si="35"/>
        <v>0</v>
      </c>
      <c r="CU13" s="16">
        <f ca="1">CR13+COUNTIFS($CS$6:$CS$53,CS13,$CT$6:CT$53,"&gt;"&amp;CT13,$BC$6:$BC$53,INDEX(T_Equipos[Grupo],MATCH(BD13,T_Equipos[NombreEquipo],0)))</f>
        <v>1</v>
      </c>
      <c r="CV13" s="16" t="str">
        <f ca="1">IF(COUNTIFS($CU$6:$CU$53,CU13,$BC$6:$BC$53,INDEX(T_Equipos[Grupo],MATCH(BD13,T_Equipos[NombreEquipo],0)))=1,"-","P."&amp;CU13&amp;" ("&amp;COUNTIFS($CU$6:$CU$53,CU13,$BC$6:$BC$53,INDEX(T_Equipos[Grupo],MATCH(BD13,T_Equipos[NombreEquipo],0)))&amp;")")</f>
        <v>P.1 (4)</v>
      </c>
      <c r="CW13" s="16">
        <f t="shared" ca="1" si="36"/>
        <v>0</v>
      </c>
      <c r="CX13" s="16">
        <f ca="1">CU13+COUNTIFS($CV$6:$CV$53,CV13,$CW$6:CW$53,"&gt;"&amp;CW13,$BC$6:$BC$53,INDEX(T_Equipos[Grupo],MATCH(BD13,T_Equipos[NombreEquipo],0)))</f>
        <v>1</v>
      </c>
      <c r="CY13" s="16" t="str">
        <f ca="1">IF(COUNTIFS($CX$6:$CX$53,CX13,$BC$6:$BC$53,INDEX(T_Equipos[Grupo],MATCH(BD13,T_Equipos[NombreEquipo],0)))=1,"-","P."&amp;CX13&amp;" ("&amp;COUNTIFS($CX$6:$CX$53,CX13,$BC$6:$BC$53,INDEX(T_Equipos[Grupo],MATCH(BD13,T_Equipos[NombreEquipo],0)))&amp;")")</f>
        <v>P.1 (4)</v>
      </c>
      <c r="CZ13" s="16">
        <f t="shared" ca="1" si="37"/>
        <v>0</v>
      </c>
      <c r="DA13" s="16">
        <f ca="1">CX13+COUNTIFS($CY$6:$CY$53,CY13,$CZ$6:CZ$53,"&gt;"&amp;CZ13,$BC$6:$BC$53,INDEX(T_Equipos[Grupo],MATCH(BD13,T_Equipos[NombreEquipo],0)))</f>
        <v>1</v>
      </c>
      <c r="DB13" s="16" t="str">
        <f ca="1">IF(COUNTIFS($DA$6:$DA$53,DA13,$BC$6:$BC$53,INDEX(T_Equipos[Grupo],MATCH(BD13,T_Equipos[NombreEquipo],0)))=1,"-","P."&amp;DA13&amp;" ("&amp;COUNTIFS($DA$6:$DA$53,DA13,$BC$6:$BC$53,INDEX(T_Equipos[Grupo],MATCH(BD13,T_Equipos[NombreEquipo],0)))&amp;")")</f>
        <v>P.1 (4)</v>
      </c>
      <c r="DC13" s="16">
        <f ca="1">IF(DB13="-","-",COUNTIFS(T_Equipos[Rank],"&lt;"&amp;INDEX(T_Equipos[Rank],MATCH(BD13,T_Equipos[NombreEquipo],0)),$BC$6:$BC$53,INDEX(T_Equipos[Grupo],MATCH(BD13,T_Equipos[NombreEquipo],0)))+1)</f>
        <v>4</v>
      </c>
      <c r="DD13" s="16">
        <f ca="1">DA13+COUNTIFS($DB$6:$DB$53,DB13,$DC$6:DC$53,"&lt;"&amp;DC13,$BC$6:$BC$53,INDEX(T_Equipos[Grupo],MATCH(BD13,T_Equipos[NombreEquipo],0)))</f>
        <v>4</v>
      </c>
      <c r="DE13" s="16"/>
      <c r="DF13" s="16">
        <f t="shared" ca="1" si="52"/>
        <v>4</v>
      </c>
      <c r="DG13" s="16">
        <f ca="1">IF(DB13="-","-",COUNTIFS(DF$6:DF$53,"&lt;"&amp;DF13,$BC$6:$BC$53,INDEX(T_Equipos[Grupo],MATCH(BD13,T_Equipos[NombreEquipo],0))))</f>
        <v>3</v>
      </c>
      <c r="DH13" s="16">
        <f ca="1">DA13+COUNTIFS(DB$6:DB$53,DB13,DG$6:DG$53,"&lt;"&amp;DG13,$BC$6:$BC$53,INDEX(T_Equipos[Grupo],MATCH(BD13,T_Equipos[NombreEquipo],0)))</f>
        <v>4</v>
      </c>
      <c r="DI13" s="16"/>
      <c r="DJ13" s="16">
        <f t="shared" ca="1" si="38"/>
        <v>1</v>
      </c>
      <c r="DK13" s="16">
        <f t="shared" ca="1" si="39"/>
        <v>0</v>
      </c>
      <c r="DL13" s="16">
        <f t="shared" ca="1" si="40"/>
        <v>1</v>
      </c>
      <c r="DM13" s="16" t="str">
        <f t="shared" ca="1" si="46"/>
        <v>1.1</v>
      </c>
      <c r="DN13" s="16" cm="1">
        <f t="array" aca="1" ref="DN13" ca="1">OFFSET(Horarios!$P$3,DJ13-1,0,DL13,1)</f>
        <v>1</v>
      </c>
      <c r="DO13" s="16"/>
      <c r="DP13" s="16" t="s">
        <v>661</v>
      </c>
      <c r="DQ13" s="16" t="str">
        <f t="shared" ca="1" si="47"/>
        <v>Switzerland</v>
      </c>
    </row>
    <row r="14" spans="1:121" ht="16" customHeight="1" x14ac:dyDescent="0.2">
      <c r="A14" s="16" t="str">
        <f ca="1">+Equipos!B7</f>
        <v>Bosnia and Herzegovina</v>
      </c>
      <c r="B14" s="16"/>
      <c r="C14" s="16"/>
      <c r="D14" s="16" t="str">
        <f t="shared" si="53"/>
        <v>Pendiente</v>
      </c>
      <c r="E14" s="16" t="str">
        <f t="shared" si="54"/>
        <v>-</v>
      </c>
      <c r="F14" s="16" t="str">
        <f t="shared" si="55"/>
        <v>-</v>
      </c>
      <c r="G14" s="16"/>
      <c r="H14" s="16" t="str">
        <f t="shared" si="56"/>
        <v>-</v>
      </c>
      <c r="I14" s="16" t="str">
        <f t="shared" si="57"/>
        <v>-</v>
      </c>
      <c r="J14" s="16"/>
      <c r="K14" s="16" t="str">
        <f t="shared" si="58"/>
        <v>-</v>
      </c>
      <c r="L14" s="16" t="str">
        <f t="shared" si="59"/>
        <v>-</v>
      </c>
      <c r="M14" s="16"/>
      <c r="N14" s="16" t="str">
        <f t="shared" si="60"/>
        <v>-</v>
      </c>
      <c r="O14" s="16" t="str">
        <f t="shared" si="61"/>
        <v>-</v>
      </c>
      <c r="P14" s="16"/>
      <c r="Q14" s="16" t="str">
        <f t="shared" si="62"/>
        <v>-</v>
      </c>
      <c r="R14" s="16" t="str">
        <f t="shared" si="63"/>
        <v>-</v>
      </c>
      <c r="S14" s="16"/>
      <c r="T14" s="16" t="str">
        <f t="shared" si="64"/>
        <v>-</v>
      </c>
      <c r="U14" s="16" t="str">
        <f t="shared" si="65"/>
        <v>-</v>
      </c>
      <c r="V14" s="17"/>
      <c r="W14" s="640"/>
      <c r="X14" s="24">
        <f ca="1">Horarios!C14</f>
        <v>46191.625</v>
      </c>
      <c r="Y14" s="25">
        <f ca="1">Horarios!C14</f>
        <v>46191.625</v>
      </c>
      <c r="Z14" s="26" t="str">
        <f>$Z$6</f>
        <v>R2</v>
      </c>
      <c r="AA14" s="27" t="str">
        <f ca="1">A16</f>
        <v>Switzerland</v>
      </c>
      <c r="AB14" s="49" t="str" cm="1">
        <f t="array" aca="1" ref="AB14" ca="1">Ver_flag_local</f>
        <v>🇨🇭</v>
      </c>
      <c r="AC14" s="50"/>
      <c r="AD14" s="51"/>
      <c r="AE14" s="595" t="str" cm="1">
        <f t="array" aca="1" ref="AE14" ca="1">Ver_flag_visit</f>
        <v>🇧🇦</v>
      </c>
      <c r="AF14" s="32" t="str">
        <f ca="1">A14</f>
        <v>Bosnia and Herzegovina</v>
      </c>
      <c r="AG14" s="323">
        <f t="shared" si="66"/>
        <v>0</v>
      </c>
      <c r="AH14" s="195">
        <v>26</v>
      </c>
      <c r="AI14" s="181" t="str">
        <f>AJ14&amp;$B$12</f>
        <v>1B</v>
      </c>
      <c r="AJ14" s="71">
        <v>1</v>
      </c>
      <c r="AK14" s="601" t="str" cm="1">
        <f t="array" aca="1" ref="AK14" ca="1">Ver_flag_visit</f>
        <v>🇨🇦</v>
      </c>
      <c r="AL14" s="34" t="str">
        <f ca="1">IFERROR(INDEX($BD$6:$BD$53,MATCH(AI14,$BN$6:$BN$53,0)),"")</f>
        <v>Canada</v>
      </c>
      <c r="AM14" s="35">
        <f t="shared" ref="AM14:AT17" ca="1" si="69">INDEX($BE$6:$BN$53,MATCH($AL14,$BD$6:$BD$53,0),MATCH(AM$5,$BE$5:$BN$5,0))</f>
        <v>0</v>
      </c>
      <c r="AN14" s="36">
        <f t="shared" ca="1" si="69"/>
        <v>0</v>
      </c>
      <c r="AO14" s="36">
        <f t="shared" ca="1" si="69"/>
        <v>0</v>
      </c>
      <c r="AP14" s="36">
        <f t="shared" ca="1" si="69"/>
        <v>0</v>
      </c>
      <c r="AQ14" s="36">
        <f t="shared" ca="1" si="69"/>
        <v>0</v>
      </c>
      <c r="AR14" s="36">
        <f t="shared" ca="1" si="69"/>
        <v>0</v>
      </c>
      <c r="AS14" s="36">
        <f t="shared" ca="1" si="69"/>
        <v>0</v>
      </c>
      <c r="AT14" s="72">
        <f t="shared" ca="1" si="69"/>
        <v>0</v>
      </c>
      <c r="AU14" s="330">
        <f ca="1">INDEX($DL$6:$DL$53,MATCH(AI14,$DP$6:$DP$53,0))</f>
        <v>1</v>
      </c>
      <c r="AV14" s="182" t="str">
        <f ca="1">INDEX($BD$6:$BD$53,MATCH(AI14,$BM$6:$BM$53,0))</f>
        <v>Canada</v>
      </c>
      <c r="AW14" s="210"/>
      <c r="AX14" s="171"/>
      <c r="AY14" s="201" t="str">
        <f ca="1">+A13</f>
        <v>Canada</v>
      </c>
      <c r="AZ14" s="202"/>
      <c r="BA14" s="176"/>
      <c r="BC14" s="16" t="str">
        <f ca="1">+INDEX(T_Equipos[Grupo],MATCH(WORLDCUP!BD14,T_Equipos[NombreEquipo],0))</f>
        <v>C</v>
      </c>
      <c r="BD14" s="16" t="str">
        <f ca="1">+Equipos!B10</f>
        <v>Brazil</v>
      </c>
      <c r="BE14" s="16">
        <f t="shared" ca="1" si="16"/>
        <v>0</v>
      </c>
      <c r="BF14" s="16">
        <f t="shared" ca="1" si="41"/>
        <v>0</v>
      </c>
      <c r="BG14" s="16">
        <f t="shared" ca="1" si="17"/>
        <v>0</v>
      </c>
      <c r="BH14" s="16">
        <f t="shared" ca="1" si="18"/>
        <v>0</v>
      </c>
      <c r="BI14" s="16">
        <f t="shared" ca="1" si="19"/>
        <v>0</v>
      </c>
      <c r="BJ14" s="16">
        <f t="shared" ca="1" si="20"/>
        <v>0</v>
      </c>
      <c r="BK14" s="16">
        <f t="shared" ca="1" si="21"/>
        <v>0</v>
      </c>
      <c r="BL14" s="16">
        <f t="shared" ca="1" si="42"/>
        <v>0</v>
      </c>
      <c r="BM14" s="16" t="str">
        <f t="shared" ca="1" si="22"/>
        <v>1C</v>
      </c>
      <c r="BN14" s="16" t="str">
        <f t="shared" ca="1" si="23"/>
        <v>1C</v>
      </c>
      <c r="BO14" s="16">
        <f t="shared" ca="1" si="43"/>
        <v>0</v>
      </c>
      <c r="BP14" s="16">
        <f ca="1">COUNTIFS($BO$6:$BO$53,"&gt;"&amp;BO14,$BC$6:$BC$53,INDEX(T_Equipos[Grupo],MATCH(BD14,T_Equipos[NombreEquipo],0)))+1</f>
        <v>1</v>
      </c>
      <c r="BQ14" s="16" t="str">
        <f ca="1">IF(COUNTIFS($BP$6:$BP$53,BP14,$BC$6:$BC$53,INDEX(T_Equipos[Grupo],MATCH(BD14,T_Equipos[NombreEquipo],0)))=1,"-","P."&amp;BP14&amp;" ("&amp;COUNTIFS($BP$6:$BP$53,BP14,$BC$6:$BC$53,INDEX(T_Equipos[Grupo],MATCH(BD14,T_Equipos[NombreEquipo],0)))&amp;")")</f>
        <v>P.1 (4)</v>
      </c>
      <c r="BR14" s="16">
        <f t="shared" ca="1" si="44"/>
        <v>0</v>
      </c>
      <c r="BS14" s="16">
        <f ca="1">BP14+COUNTIFS($BQ$6:$BQ$53,BQ14,$BR$6:BR$53,"&gt;"&amp;BR14,$BC$6:$BC$53,INDEX(T_Equipos[Grupo],MATCH(BD14,T_Equipos[NombreEquipo],0)))</f>
        <v>1</v>
      </c>
      <c r="BT14" s="16" t="str">
        <f ca="1">IF(COUNTIFS($BS$6:$BS$53,BS14,$BC$6:$BC$53,INDEX(T_Equipos[Grupo],MATCH(BD14,T_Equipos[NombreEquipo],0)))=1,"-","P."&amp;BS14&amp;" ("&amp;COUNTIFS($BS$6:$BS$53,BS14,$BC$6:$BC$53,INDEX(T_Equipos[Grupo],MATCH(BD14,T_Equipos[NombreEquipo],0)))&amp;")")</f>
        <v>P.1 (4)</v>
      </c>
      <c r="BU14" s="16">
        <f t="shared" ca="1" si="24"/>
        <v>0</v>
      </c>
      <c r="BV14" s="16">
        <f t="shared" ca="1" si="25"/>
        <v>0</v>
      </c>
      <c r="BW14" s="16">
        <f t="shared" ca="1" si="26"/>
        <v>0</v>
      </c>
      <c r="BX14" s="16">
        <f t="shared" ca="1" si="48"/>
        <v>0</v>
      </c>
      <c r="BY14" s="16">
        <f ca="1">BS14+COUNTIFS($BT$6:$BT$53,BT14,$BX$6:BX$53,"&gt;"&amp;BX14,$BC$6:$BC$53,INDEX(T_Equipos[Grupo],MATCH(BD14,T_Equipos[NombreEquipo],0)))</f>
        <v>1</v>
      </c>
      <c r="BZ14" s="16" t="str">
        <f ca="1">IF(COUNTIFS($BY$6:$BY$53,BY14,$BC$6:$BC$53,INDEX(T_Equipos[Grupo],MATCH(BD14,T_Equipos[NombreEquipo],0)))=1,"-","P."&amp;BY14&amp;" ("&amp;COUNTIFS($BY$6:$BY$53,BY14,$BC$6:$BC$53,INDEX(T_Equipos[Grupo],MATCH(BD14,T_Equipos[NombreEquipo],0)))&amp;")")</f>
        <v>P.1 (4)</v>
      </c>
      <c r="CA14" s="16">
        <f t="shared" ca="1" si="27"/>
        <v>0</v>
      </c>
      <c r="CB14" s="16">
        <f t="shared" ca="1" si="28"/>
        <v>0</v>
      </c>
      <c r="CC14" s="16">
        <f t="shared" ca="1" si="49"/>
        <v>0</v>
      </c>
      <c r="CD14" s="16">
        <f ca="1">BY14+COUNTIFS($BZ$6:$BZ$53,BZ14,$CC$6:CC$53,"&gt;"&amp;CC14,$BC$6:$BC$53,INDEX(T_Equipos[Grupo],MATCH(BD14,T_Equipos[NombreEquipo],0)))</f>
        <v>1</v>
      </c>
      <c r="CE14" s="16" t="str">
        <f ca="1">IF(COUNTIFS($CD$6:$CD$53,CD14,$BC$6:$BC$53,INDEX(T_Equipos[Grupo],MATCH(BD14,T_Equipos[NombreEquipo],0)))=1,"-","P."&amp;CD14&amp;" ("&amp;COUNTIFS($CD$6:$CD$53,CD14,$BC$6:$BC$53,INDEX(T_Equipos[Grupo],MATCH(BD14,T_Equipos[NombreEquipo],0)))&amp;")")</f>
        <v>P.1 (4)</v>
      </c>
      <c r="CF14" s="16">
        <f t="shared" ca="1" si="29"/>
        <v>0</v>
      </c>
      <c r="CG14" s="16">
        <f ca="1">CD14+COUNTIFS($CE$6:$CE$53,CE14,$CF$6:CF$53,"&gt;"&amp;CF14,$BC$6:$BC$53,INDEX(T_Equipos[Grupo],MATCH(BD14,T_Equipos[NombreEquipo],0)))</f>
        <v>1</v>
      </c>
      <c r="CH14" s="16" t="str">
        <f ca="1">IF(COUNTIFS($CG$6:$CG$53,CG14,$BC$6:$BC$53,INDEX(T_Equipos[Grupo],MATCH(BD14,T_Equipos[NombreEquipo],0)))=1,"-","P."&amp;CG14&amp;" ("&amp;COUNTIFS($CG$6:$CG$53,CG14,$BC$6:$BC$53,INDEX(T_Equipos[Grupo],MATCH(BD14,T_Equipos[NombreEquipo],0)))&amp;")")</f>
        <v>P.1 (4)</v>
      </c>
      <c r="CI14" s="16">
        <f t="shared" ca="1" si="30"/>
        <v>0</v>
      </c>
      <c r="CJ14" s="16">
        <f t="shared" ca="1" si="31"/>
        <v>0</v>
      </c>
      <c r="CK14" s="16">
        <f t="shared" ca="1" si="32"/>
        <v>0</v>
      </c>
      <c r="CL14" s="16">
        <f t="shared" ca="1" si="50"/>
        <v>0</v>
      </c>
      <c r="CM14" s="16">
        <f ca="1">CG14+COUNTIFS($CH$6:$CH$53,CH14,$CL$6:CL$53,"&gt;"&amp;CL14,$BC$6:$BC$53,INDEX(T_Equipos[Grupo],MATCH(BD14,T_Equipos[NombreEquipo],0)))</f>
        <v>1</v>
      </c>
      <c r="CN14" s="16" t="str">
        <f ca="1">IF(COUNTIFS($CM$6:$CM$53,CM14,$BC$6:$BC$53,INDEX(T_Equipos[Grupo],MATCH(BD14,T_Equipos[NombreEquipo],0)))=1,"-","P."&amp;CM14&amp;" ("&amp;COUNTIFS($CM$6:$CM$53,CM14,$BC$6:$BC$53,INDEX(T_Equipos[Grupo],MATCH(BD14,T_Equipos[NombreEquipo],0)))&amp;")")</f>
        <v>P.1 (4)</v>
      </c>
      <c r="CO14" s="16">
        <f t="shared" ca="1" si="33"/>
        <v>0</v>
      </c>
      <c r="CP14" s="16">
        <f t="shared" ca="1" si="34"/>
        <v>0</v>
      </c>
      <c r="CQ14" s="16">
        <f t="shared" ca="1" si="51"/>
        <v>0</v>
      </c>
      <c r="CR14" s="16">
        <f ca="1">CM14+COUNTIFS($CN$6:$CN$53,CN14,$CQ$6:CQ$53,"&gt;"&amp;CQ14,$BC$6:$BC$53,INDEX(T_Equipos[Grupo],MATCH(BD14,T_Equipos[NombreEquipo],0)))</f>
        <v>1</v>
      </c>
      <c r="CS14" s="16" t="str">
        <f ca="1">IF(COUNTIFS($CR$6:$CR$53,CR14,$BC$6:$BC$53,INDEX(T_Equipos[Grupo],MATCH(BD14,T_Equipos[NombreEquipo],0)))=1,"-","P."&amp;CR14&amp;" ("&amp;COUNTIFS($CR$6:$CR$53,CR14,$BC$6:$BC$53,INDEX(T_Equipos[Grupo],MATCH(BD14,T_Equipos[NombreEquipo],0)))&amp;")")</f>
        <v>P.1 (4)</v>
      </c>
      <c r="CT14" s="16">
        <f t="shared" ca="1" si="35"/>
        <v>0</v>
      </c>
      <c r="CU14" s="16">
        <f ca="1">CR14+COUNTIFS($CS$6:$CS$53,CS14,$CT$6:CT$53,"&gt;"&amp;CT14,$BC$6:$BC$53,INDEX(T_Equipos[Grupo],MATCH(BD14,T_Equipos[NombreEquipo],0)))</f>
        <v>1</v>
      </c>
      <c r="CV14" s="16" t="str">
        <f ca="1">IF(COUNTIFS($CU$6:$CU$53,CU14,$BC$6:$BC$53,INDEX(T_Equipos[Grupo],MATCH(BD14,T_Equipos[NombreEquipo],0)))=1,"-","P."&amp;CU14&amp;" ("&amp;COUNTIFS($CU$6:$CU$53,CU14,$BC$6:$BC$53,INDEX(T_Equipos[Grupo],MATCH(BD14,T_Equipos[NombreEquipo],0)))&amp;")")</f>
        <v>P.1 (4)</v>
      </c>
      <c r="CW14" s="16">
        <f t="shared" ca="1" si="36"/>
        <v>0</v>
      </c>
      <c r="CX14" s="16">
        <f ca="1">CU14+COUNTIFS($CV$6:$CV$53,CV14,$CW$6:CW$53,"&gt;"&amp;CW14,$BC$6:$BC$53,INDEX(T_Equipos[Grupo],MATCH(BD14,T_Equipos[NombreEquipo],0)))</f>
        <v>1</v>
      </c>
      <c r="CY14" s="16" t="str">
        <f ca="1">IF(COUNTIFS($CX$6:$CX$53,CX14,$BC$6:$BC$53,INDEX(T_Equipos[Grupo],MATCH(BD14,T_Equipos[NombreEquipo],0)))=1,"-","P."&amp;CX14&amp;" ("&amp;COUNTIFS($CX$6:$CX$53,CX14,$BC$6:$BC$53,INDEX(T_Equipos[Grupo],MATCH(BD14,T_Equipos[NombreEquipo],0)))&amp;")")</f>
        <v>P.1 (4)</v>
      </c>
      <c r="CZ14" s="16">
        <f t="shared" ca="1" si="37"/>
        <v>0</v>
      </c>
      <c r="DA14" s="16">
        <f ca="1">CX14+COUNTIFS($CY$6:$CY$53,CY14,$CZ$6:CZ$53,"&gt;"&amp;CZ14,$BC$6:$BC$53,INDEX(T_Equipos[Grupo],MATCH(BD14,T_Equipos[NombreEquipo],0)))</f>
        <v>1</v>
      </c>
      <c r="DB14" s="16" t="str">
        <f ca="1">IF(COUNTIFS($DA$6:$DA$53,DA14,$BC$6:$BC$53,INDEX(T_Equipos[Grupo],MATCH(BD14,T_Equipos[NombreEquipo],0)))=1,"-","P."&amp;DA14&amp;" ("&amp;COUNTIFS($DA$6:$DA$53,DA14,$BC$6:$BC$53,INDEX(T_Equipos[Grupo],MATCH(BD14,T_Equipos[NombreEquipo],0)))&amp;")")</f>
        <v>P.1 (4)</v>
      </c>
      <c r="DC14" s="16">
        <f ca="1">IF(DB14="-","-",COUNTIFS(T_Equipos[Rank],"&lt;"&amp;INDEX(T_Equipos[Rank],MATCH(BD14,T_Equipos[NombreEquipo],0)),$BC$6:$BC$53,INDEX(T_Equipos[Grupo],MATCH(BD14,T_Equipos[NombreEquipo],0)))+1)</f>
        <v>1</v>
      </c>
      <c r="DD14" s="16">
        <f ca="1">DA14+COUNTIFS($DB$6:$DB$53,DB14,$DC$6:DC$53,"&lt;"&amp;DC14,$BC$6:$BC$53,INDEX(T_Equipos[Grupo],MATCH(BD14,T_Equipos[NombreEquipo],0)))</f>
        <v>1</v>
      </c>
      <c r="DE14" s="16"/>
      <c r="DF14" s="16">
        <f t="shared" ca="1" si="52"/>
        <v>1</v>
      </c>
      <c r="DG14" s="16">
        <f ca="1">IF(DB14="-","-",COUNTIFS(DF$6:DF$53,"&lt;"&amp;DF14,$BC$6:$BC$53,INDEX(T_Equipos[Grupo],MATCH(BD14,T_Equipos[NombreEquipo],0))))</f>
        <v>0</v>
      </c>
      <c r="DH14" s="16">
        <f ca="1">DA14+COUNTIFS(DB$6:DB$53,DB14,DG$6:DG$53,"&lt;"&amp;DG14,$BC$6:$BC$53,INDEX(T_Equipos[Grupo],MATCH(BD14,T_Equipos[NombreEquipo],0)))</f>
        <v>1</v>
      </c>
      <c r="DI14" s="16"/>
      <c r="DJ14" s="16">
        <f t="shared" ca="1" si="38"/>
        <v>1</v>
      </c>
      <c r="DK14" s="16">
        <f t="shared" ca="1" si="39"/>
        <v>0</v>
      </c>
      <c r="DL14" s="16">
        <f t="shared" ca="1" si="40"/>
        <v>1</v>
      </c>
      <c r="DM14" s="16" t="str">
        <f t="shared" ca="1" si="46"/>
        <v>1.1</v>
      </c>
      <c r="DN14" s="16" cm="1">
        <f t="array" aca="1" ref="DN14" ca="1">OFFSET(Horarios!$P$3,DJ14-1,0,DL14,1)</f>
        <v>1</v>
      </c>
      <c r="DO14" s="16"/>
      <c r="DP14" s="16" t="s">
        <v>662</v>
      </c>
      <c r="DQ14" s="16" t="str">
        <f t="shared" ca="1" si="47"/>
        <v>Brazil</v>
      </c>
    </row>
    <row r="15" spans="1:121" ht="16" customHeight="1" x14ac:dyDescent="0.2">
      <c r="A15" s="16" t="str">
        <f ca="1">+Equipos!B8</f>
        <v>Qatar</v>
      </c>
      <c r="B15" s="16"/>
      <c r="C15" s="16"/>
      <c r="D15" s="16" t="str">
        <f t="shared" si="53"/>
        <v>Pendiente</v>
      </c>
      <c r="E15" s="16" t="str">
        <f t="shared" si="54"/>
        <v>-</v>
      </c>
      <c r="F15" s="16" t="str">
        <f t="shared" si="55"/>
        <v>-</v>
      </c>
      <c r="G15" s="16"/>
      <c r="H15" s="16" t="str">
        <f t="shared" si="56"/>
        <v>-</v>
      </c>
      <c r="I15" s="16" t="str">
        <f t="shared" si="57"/>
        <v>-</v>
      </c>
      <c r="J15" s="16"/>
      <c r="K15" s="16" t="str">
        <f t="shared" si="58"/>
        <v>-</v>
      </c>
      <c r="L15" s="16" t="str">
        <f t="shared" si="59"/>
        <v>-</v>
      </c>
      <c r="M15" s="16"/>
      <c r="N15" s="16" t="str">
        <f t="shared" si="60"/>
        <v>-</v>
      </c>
      <c r="O15" s="16" t="str">
        <f t="shared" si="61"/>
        <v>-</v>
      </c>
      <c r="P15" s="16"/>
      <c r="Q15" s="16" t="str">
        <f t="shared" si="62"/>
        <v>-</v>
      </c>
      <c r="R15" s="16" t="str">
        <f t="shared" si="63"/>
        <v>-</v>
      </c>
      <c r="S15" s="16"/>
      <c r="T15" s="16" t="str">
        <f t="shared" si="64"/>
        <v>-</v>
      </c>
      <c r="U15" s="16" t="str">
        <f t="shared" si="65"/>
        <v>-</v>
      </c>
      <c r="V15" s="17"/>
      <c r="W15" s="640"/>
      <c r="X15" s="24">
        <f ca="1">Horarios!C15</f>
        <v>46191.75</v>
      </c>
      <c r="Y15" s="25">
        <f ca="1">Horarios!C15</f>
        <v>46191.75</v>
      </c>
      <c r="Z15" s="26" t="str">
        <f>$Z$6</f>
        <v>R2</v>
      </c>
      <c r="AA15" s="27" t="str">
        <f ca="1">A13</f>
        <v>Canada</v>
      </c>
      <c r="AB15" s="49" t="str" cm="1">
        <f t="array" aca="1" ref="AB15" ca="1">Ver_flag_local</f>
        <v>🇨🇦</v>
      </c>
      <c r="AC15" s="50"/>
      <c r="AD15" s="51"/>
      <c r="AE15" s="595" t="str" cm="1">
        <f t="array" aca="1" ref="AE15" ca="1">Ver_flag_visit</f>
        <v>🇶🇦</v>
      </c>
      <c r="AF15" s="32" t="str">
        <f ca="1">A15</f>
        <v>Qatar</v>
      </c>
      <c r="AG15" s="323">
        <f t="shared" si="66"/>
        <v>0</v>
      </c>
      <c r="AH15" s="195">
        <v>27</v>
      </c>
      <c r="AI15" s="181" t="str">
        <f t="shared" ref="AI15:AI17" si="70">AJ15&amp;$B$12</f>
        <v>2B</v>
      </c>
      <c r="AJ15" s="73">
        <v>2</v>
      </c>
      <c r="AK15" s="602" t="str" cm="1">
        <f t="array" aca="1" ref="AK15" ca="1">Ver_flag_visit</f>
        <v>🇧🇦</v>
      </c>
      <c r="AL15" s="37" t="str">
        <f ca="1">IFERROR(INDEX($BD$6:$BD$53,MATCH(AI15,$BN$6:$BN$53,0)),"")</f>
        <v>Bosnia and Herzegovina</v>
      </c>
      <c r="AM15" s="38">
        <f t="shared" ca="1" si="69"/>
        <v>0</v>
      </c>
      <c r="AN15" s="39">
        <f t="shared" ca="1" si="69"/>
        <v>0</v>
      </c>
      <c r="AO15" s="39">
        <f t="shared" ca="1" si="69"/>
        <v>0</v>
      </c>
      <c r="AP15" s="39">
        <f t="shared" ca="1" si="69"/>
        <v>0</v>
      </c>
      <c r="AQ15" s="39">
        <f t="shared" ca="1" si="69"/>
        <v>0</v>
      </c>
      <c r="AR15" s="39">
        <f t="shared" ca="1" si="69"/>
        <v>0</v>
      </c>
      <c r="AS15" s="39">
        <f t="shared" ca="1" si="69"/>
        <v>0</v>
      </c>
      <c r="AT15" s="74">
        <f t="shared" ca="1" si="69"/>
        <v>0</v>
      </c>
      <c r="AU15" s="330">
        <f ca="1">INDEX($DL$6:$DL$53,MATCH(AI15,$DP$6:$DP$53,0))</f>
        <v>1</v>
      </c>
      <c r="AV15" s="182" t="str">
        <f ca="1">INDEX($BD$6:$BD$53,MATCH(AI15,$BM$6:$BM$53,0))</f>
        <v>Bosnia and Herzegovina</v>
      </c>
      <c r="AW15" s="210"/>
      <c r="AX15" s="171"/>
      <c r="AY15" s="203" t="str">
        <f ca="1">+A14</f>
        <v>Bosnia and Herzegovina</v>
      </c>
      <c r="AZ15" s="204"/>
      <c r="BA15" s="176"/>
      <c r="BC15" s="16" t="str">
        <f ca="1">+INDEX(T_Equipos[Grupo],MATCH(WORLDCUP!BD15,T_Equipos[NombreEquipo],0))</f>
        <v>C</v>
      </c>
      <c r="BD15" s="16" t="str">
        <f ca="1">+Equipos!B11</f>
        <v>Morocco</v>
      </c>
      <c r="BE15" s="16">
        <f t="shared" ca="1" si="16"/>
        <v>0</v>
      </c>
      <c r="BF15" s="16">
        <f t="shared" ca="1" si="41"/>
        <v>0</v>
      </c>
      <c r="BG15" s="16">
        <f t="shared" ca="1" si="17"/>
        <v>0</v>
      </c>
      <c r="BH15" s="16">
        <f t="shared" ca="1" si="18"/>
        <v>0</v>
      </c>
      <c r="BI15" s="16">
        <f t="shared" ca="1" si="19"/>
        <v>0</v>
      </c>
      <c r="BJ15" s="16">
        <f t="shared" ca="1" si="20"/>
        <v>0</v>
      </c>
      <c r="BK15" s="16">
        <f t="shared" ca="1" si="21"/>
        <v>0</v>
      </c>
      <c r="BL15" s="16">
        <f t="shared" ca="1" si="42"/>
        <v>0</v>
      </c>
      <c r="BM15" s="16" t="str">
        <f t="shared" ca="1" si="22"/>
        <v>2C</v>
      </c>
      <c r="BN15" s="16" t="str">
        <f t="shared" ca="1" si="23"/>
        <v>2C</v>
      </c>
      <c r="BO15" s="16">
        <f t="shared" ca="1" si="43"/>
        <v>0</v>
      </c>
      <c r="BP15" s="16">
        <f ca="1">COUNTIFS($BO$6:$BO$53,"&gt;"&amp;BO15,$BC$6:$BC$53,INDEX(T_Equipos[Grupo],MATCH(BD15,T_Equipos[NombreEquipo],0)))+1</f>
        <v>1</v>
      </c>
      <c r="BQ15" s="16" t="str">
        <f ca="1">IF(COUNTIFS($BP$6:$BP$53,BP15,$BC$6:$BC$53,INDEX(T_Equipos[Grupo],MATCH(BD15,T_Equipos[NombreEquipo],0)))=1,"-","P."&amp;BP15&amp;" ("&amp;COUNTIFS($BP$6:$BP$53,BP15,$BC$6:$BC$53,INDEX(T_Equipos[Grupo],MATCH(BD15,T_Equipos[NombreEquipo],0)))&amp;")")</f>
        <v>P.1 (4)</v>
      </c>
      <c r="BR15" s="16">
        <f t="shared" ca="1" si="44"/>
        <v>0</v>
      </c>
      <c r="BS15" s="16">
        <f ca="1">BP15+COUNTIFS($BQ$6:$BQ$53,BQ15,$BR$6:BR$53,"&gt;"&amp;BR15,$BC$6:$BC$53,INDEX(T_Equipos[Grupo],MATCH(BD15,T_Equipos[NombreEquipo],0)))</f>
        <v>1</v>
      </c>
      <c r="BT15" s="16" t="str">
        <f ca="1">IF(COUNTIFS($BS$6:$BS$53,BS15,$BC$6:$BC$53,INDEX(T_Equipos[Grupo],MATCH(BD15,T_Equipos[NombreEquipo],0)))=1,"-","P."&amp;BS15&amp;" ("&amp;COUNTIFS($BS$6:$BS$53,BS15,$BC$6:$BC$53,INDEX(T_Equipos[Grupo],MATCH(BD15,T_Equipos[NombreEquipo],0)))&amp;")")</f>
        <v>P.1 (4)</v>
      </c>
      <c r="BU15" s="16">
        <f t="shared" ca="1" si="24"/>
        <v>0</v>
      </c>
      <c r="BV15" s="16">
        <f t="shared" ca="1" si="25"/>
        <v>0</v>
      </c>
      <c r="BW15" s="16">
        <f t="shared" ca="1" si="26"/>
        <v>0</v>
      </c>
      <c r="BX15" s="16">
        <f t="shared" ca="1" si="48"/>
        <v>0</v>
      </c>
      <c r="BY15" s="16">
        <f ca="1">BS15+COUNTIFS($BT$6:$BT$53,BT15,$BX$6:BX$53,"&gt;"&amp;BX15,$BC$6:$BC$53,INDEX(T_Equipos[Grupo],MATCH(BD15,T_Equipos[NombreEquipo],0)))</f>
        <v>1</v>
      </c>
      <c r="BZ15" s="16" t="str">
        <f ca="1">IF(COUNTIFS($BY$6:$BY$53,BY15,$BC$6:$BC$53,INDEX(T_Equipos[Grupo],MATCH(BD15,T_Equipos[NombreEquipo],0)))=1,"-","P."&amp;BY15&amp;" ("&amp;COUNTIFS($BY$6:$BY$53,BY15,$BC$6:$BC$53,INDEX(T_Equipos[Grupo],MATCH(BD15,T_Equipos[NombreEquipo],0)))&amp;")")</f>
        <v>P.1 (4)</v>
      </c>
      <c r="CA15" s="16">
        <f t="shared" ca="1" si="27"/>
        <v>0</v>
      </c>
      <c r="CB15" s="16">
        <f t="shared" ca="1" si="28"/>
        <v>0</v>
      </c>
      <c r="CC15" s="16">
        <f t="shared" ca="1" si="49"/>
        <v>0</v>
      </c>
      <c r="CD15" s="16">
        <f ca="1">BY15+COUNTIFS($BZ$6:$BZ$53,BZ15,$CC$6:CC$53,"&gt;"&amp;CC15,$BC$6:$BC$53,INDEX(T_Equipos[Grupo],MATCH(BD15,T_Equipos[NombreEquipo],0)))</f>
        <v>1</v>
      </c>
      <c r="CE15" s="16" t="str">
        <f ca="1">IF(COUNTIFS($CD$6:$CD$53,CD15,$BC$6:$BC$53,INDEX(T_Equipos[Grupo],MATCH(BD15,T_Equipos[NombreEquipo],0)))=1,"-","P."&amp;CD15&amp;" ("&amp;COUNTIFS($CD$6:$CD$53,CD15,$BC$6:$BC$53,INDEX(T_Equipos[Grupo],MATCH(BD15,T_Equipos[NombreEquipo],0)))&amp;")")</f>
        <v>P.1 (4)</v>
      </c>
      <c r="CF15" s="16">
        <f t="shared" ca="1" si="29"/>
        <v>0</v>
      </c>
      <c r="CG15" s="16">
        <f ca="1">CD15+COUNTIFS($CE$6:$CE$53,CE15,$CF$6:CF$53,"&gt;"&amp;CF15,$BC$6:$BC$53,INDEX(T_Equipos[Grupo],MATCH(BD15,T_Equipos[NombreEquipo],0)))</f>
        <v>1</v>
      </c>
      <c r="CH15" s="16" t="str">
        <f ca="1">IF(COUNTIFS($CG$6:$CG$53,CG15,$BC$6:$BC$53,INDEX(T_Equipos[Grupo],MATCH(BD15,T_Equipos[NombreEquipo],0)))=1,"-","P."&amp;CG15&amp;" ("&amp;COUNTIFS($CG$6:$CG$53,CG15,$BC$6:$BC$53,INDEX(T_Equipos[Grupo],MATCH(BD15,T_Equipos[NombreEquipo],0)))&amp;")")</f>
        <v>P.1 (4)</v>
      </c>
      <c r="CI15" s="16">
        <f t="shared" ca="1" si="30"/>
        <v>0</v>
      </c>
      <c r="CJ15" s="16">
        <f t="shared" ca="1" si="31"/>
        <v>0</v>
      </c>
      <c r="CK15" s="16">
        <f t="shared" ca="1" si="32"/>
        <v>0</v>
      </c>
      <c r="CL15" s="16">
        <f t="shared" ca="1" si="50"/>
        <v>0</v>
      </c>
      <c r="CM15" s="16">
        <f ca="1">CG15+COUNTIFS($CH$6:$CH$53,CH15,$CL$6:CL$53,"&gt;"&amp;CL15,$BC$6:$BC$53,INDEX(T_Equipos[Grupo],MATCH(BD15,T_Equipos[NombreEquipo],0)))</f>
        <v>1</v>
      </c>
      <c r="CN15" s="16" t="str">
        <f ca="1">IF(COUNTIFS($CM$6:$CM$53,CM15,$BC$6:$BC$53,INDEX(T_Equipos[Grupo],MATCH(BD15,T_Equipos[NombreEquipo],0)))=1,"-","P."&amp;CM15&amp;" ("&amp;COUNTIFS($CM$6:$CM$53,CM15,$BC$6:$BC$53,INDEX(T_Equipos[Grupo],MATCH(BD15,T_Equipos[NombreEquipo],0)))&amp;")")</f>
        <v>P.1 (4)</v>
      </c>
      <c r="CO15" s="16">
        <f t="shared" ca="1" si="33"/>
        <v>0</v>
      </c>
      <c r="CP15" s="16">
        <f t="shared" ca="1" si="34"/>
        <v>0</v>
      </c>
      <c r="CQ15" s="16">
        <f t="shared" ca="1" si="51"/>
        <v>0</v>
      </c>
      <c r="CR15" s="16">
        <f ca="1">CM15+COUNTIFS($CN$6:$CN$53,CN15,$CQ$6:CQ$53,"&gt;"&amp;CQ15,$BC$6:$BC$53,INDEX(T_Equipos[Grupo],MATCH(BD15,T_Equipos[NombreEquipo],0)))</f>
        <v>1</v>
      </c>
      <c r="CS15" s="16" t="str">
        <f ca="1">IF(COUNTIFS($CR$6:$CR$53,CR15,$BC$6:$BC$53,INDEX(T_Equipos[Grupo],MATCH(BD15,T_Equipos[NombreEquipo],0)))=1,"-","P."&amp;CR15&amp;" ("&amp;COUNTIFS($CR$6:$CR$53,CR15,$BC$6:$BC$53,INDEX(T_Equipos[Grupo],MATCH(BD15,T_Equipos[NombreEquipo],0)))&amp;")")</f>
        <v>P.1 (4)</v>
      </c>
      <c r="CT15" s="16">
        <f t="shared" ca="1" si="35"/>
        <v>0</v>
      </c>
      <c r="CU15" s="16">
        <f ca="1">CR15+COUNTIFS($CS$6:$CS$53,CS15,$CT$6:CT$53,"&gt;"&amp;CT15,$BC$6:$BC$53,INDEX(T_Equipos[Grupo],MATCH(BD15,T_Equipos[NombreEquipo],0)))</f>
        <v>1</v>
      </c>
      <c r="CV15" s="16" t="str">
        <f ca="1">IF(COUNTIFS($CU$6:$CU$53,CU15,$BC$6:$BC$53,INDEX(T_Equipos[Grupo],MATCH(BD15,T_Equipos[NombreEquipo],0)))=1,"-","P."&amp;CU15&amp;" ("&amp;COUNTIFS($CU$6:$CU$53,CU15,$BC$6:$BC$53,INDEX(T_Equipos[Grupo],MATCH(BD15,T_Equipos[NombreEquipo],0)))&amp;")")</f>
        <v>P.1 (4)</v>
      </c>
      <c r="CW15" s="16">
        <f t="shared" ca="1" si="36"/>
        <v>0</v>
      </c>
      <c r="CX15" s="16">
        <f ca="1">CU15+COUNTIFS($CV$6:$CV$53,CV15,$CW$6:CW$53,"&gt;"&amp;CW15,$BC$6:$BC$53,INDEX(T_Equipos[Grupo],MATCH(BD15,T_Equipos[NombreEquipo],0)))</f>
        <v>1</v>
      </c>
      <c r="CY15" s="16" t="str">
        <f ca="1">IF(COUNTIFS($CX$6:$CX$53,CX15,$BC$6:$BC$53,INDEX(T_Equipos[Grupo],MATCH(BD15,T_Equipos[NombreEquipo],0)))=1,"-","P."&amp;CX15&amp;" ("&amp;COUNTIFS($CX$6:$CX$53,CX15,$BC$6:$BC$53,INDEX(T_Equipos[Grupo],MATCH(BD15,T_Equipos[NombreEquipo],0)))&amp;")")</f>
        <v>P.1 (4)</v>
      </c>
      <c r="CZ15" s="16">
        <f t="shared" ca="1" si="37"/>
        <v>0</v>
      </c>
      <c r="DA15" s="16">
        <f ca="1">CX15+COUNTIFS($CY$6:$CY$53,CY15,$CZ$6:CZ$53,"&gt;"&amp;CZ15,$BC$6:$BC$53,INDEX(T_Equipos[Grupo],MATCH(BD15,T_Equipos[NombreEquipo],0)))</f>
        <v>1</v>
      </c>
      <c r="DB15" s="16" t="str">
        <f ca="1">IF(COUNTIFS($DA$6:$DA$53,DA15,$BC$6:$BC$53,INDEX(T_Equipos[Grupo],MATCH(BD15,T_Equipos[NombreEquipo],0)))=1,"-","P."&amp;DA15&amp;" ("&amp;COUNTIFS($DA$6:$DA$53,DA15,$BC$6:$BC$53,INDEX(T_Equipos[Grupo],MATCH(BD15,T_Equipos[NombreEquipo],0)))&amp;")")</f>
        <v>P.1 (4)</v>
      </c>
      <c r="DC15" s="16">
        <f ca="1">IF(DB15="-","-",COUNTIFS(T_Equipos[Rank],"&lt;"&amp;INDEX(T_Equipos[Rank],MATCH(BD15,T_Equipos[NombreEquipo],0)),$BC$6:$BC$53,INDEX(T_Equipos[Grupo],MATCH(BD15,T_Equipos[NombreEquipo],0)))+1)</f>
        <v>2</v>
      </c>
      <c r="DD15" s="16">
        <f ca="1">DA15+COUNTIFS($DB$6:$DB$53,DB15,$DC$6:DC$53,"&lt;"&amp;DC15,$BC$6:$BC$53,INDEX(T_Equipos[Grupo],MATCH(BD15,T_Equipos[NombreEquipo],0)))</f>
        <v>2</v>
      </c>
      <c r="DE15" s="16"/>
      <c r="DF15" s="16">
        <f t="shared" ca="1" si="52"/>
        <v>2</v>
      </c>
      <c r="DG15" s="16">
        <f ca="1">IF(DB15="-","-",COUNTIFS(DF$6:DF$53,"&lt;"&amp;DF15,$BC$6:$BC$53,INDEX(T_Equipos[Grupo],MATCH(BD15,T_Equipos[NombreEquipo],0))))</f>
        <v>1</v>
      </c>
      <c r="DH15" s="16">
        <f ca="1">DA15+COUNTIFS(DB$6:DB$53,DB15,DG$6:DG$53,"&lt;"&amp;DG15,$BC$6:$BC$53,INDEX(T_Equipos[Grupo],MATCH(BD15,T_Equipos[NombreEquipo],0)))</f>
        <v>2</v>
      </c>
      <c r="DI15" s="16"/>
      <c r="DJ15" s="16">
        <f t="shared" ca="1" si="38"/>
        <v>1</v>
      </c>
      <c r="DK15" s="16">
        <f t="shared" ca="1" si="39"/>
        <v>0</v>
      </c>
      <c r="DL15" s="16">
        <f t="shared" ca="1" si="40"/>
        <v>1</v>
      </c>
      <c r="DM15" s="16" t="str">
        <f t="shared" ca="1" si="46"/>
        <v>1.1</v>
      </c>
      <c r="DN15" s="16" cm="1">
        <f t="array" aca="1" ref="DN15" ca="1">OFFSET(Horarios!$P$3,DJ15-1,0,DL15,1)</f>
        <v>1</v>
      </c>
      <c r="DO15" s="16"/>
      <c r="DP15" s="16" t="s">
        <v>667</v>
      </c>
      <c r="DQ15" s="16" t="str">
        <f t="shared" ca="1" si="47"/>
        <v>Morocco</v>
      </c>
    </row>
    <row r="16" spans="1:121" ht="16" customHeight="1" x14ac:dyDescent="0.2">
      <c r="A16" s="16" t="str">
        <f ca="1">+Equipos!B9</f>
        <v>Switzerland</v>
      </c>
      <c r="B16" s="16"/>
      <c r="C16" s="16"/>
      <c r="D16" s="16" t="str">
        <f t="shared" si="53"/>
        <v>Pendiente</v>
      </c>
      <c r="E16" s="16" t="str">
        <f t="shared" si="54"/>
        <v>-</v>
      </c>
      <c r="F16" s="16" t="str">
        <f t="shared" si="55"/>
        <v>-</v>
      </c>
      <c r="G16" s="16"/>
      <c r="H16" s="16" t="str">
        <f t="shared" si="56"/>
        <v>-</v>
      </c>
      <c r="I16" s="16" t="str">
        <f t="shared" si="57"/>
        <v>-</v>
      </c>
      <c r="J16" s="16"/>
      <c r="K16" s="16" t="str">
        <f t="shared" si="58"/>
        <v>-</v>
      </c>
      <c r="L16" s="16" t="str">
        <f t="shared" si="59"/>
        <v>-</v>
      </c>
      <c r="M16" s="16"/>
      <c r="N16" s="16" t="str">
        <f t="shared" si="60"/>
        <v>-</v>
      </c>
      <c r="O16" s="16" t="str">
        <f t="shared" si="61"/>
        <v>-</v>
      </c>
      <c r="P16" s="16"/>
      <c r="Q16" s="16" t="str">
        <f t="shared" si="62"/>
        <v>-</v>
      </c>
      <c r="R16" s="16" t="str">
        <f t="shared" si="63"/>
        <v>-</v>
      </c>
      <c r="S16" s="16"/>
      <c r="T16" s="16" t="str">
        <f t="shared" si="64"/>
        <v>-</v>
      </c>
      <c r="U16" s="16" t="str">
        <f t="shared" si="65"/>
        <v>-</v>
      </c>
      <c r="V16" s="17"/>
      <c r="W16" s="640"/>
      <c r="X16" s="24">
        <f ca="1">Horarios!C16</f>
        <v>46197.625</v>
      </c>
      <c r="Y16" s="25">
        <f ca="1">Horarios!C16</f>
        <v>46197.625</v>
      </c>
      <c r="Z16" s="26" t="str">
        <f>$Z$8</f>
        <v>R3</v>
      </c>
      <c r="AA16" s="27" t="str">
        <f ca="1">A16</f>
        <v>Switzerland</v>
      </c>
      <c r="AB16" s="49" t="str" cm="1">
        <f t="array" aca="1" ref="AB16" ca="1">Ver_flag_local</f>
        <v>🇨🇭</v>
      </c>
      <c r="AC16" s="50"/>
      <c r="AD16" s="51"/>
      <c r="AE16" s="595" t="str" cm="1">
        <f t="array" aca="1" ref="AE16" ca="1">Ver_flag_visit</f>
        <v>🇨🇦</v>
      </c>
      <c r="AF16" s="32" t="str">
        <f ca="1">A13</f>
        <v>Canada</v>
      </c>
      <c r="AG16" s="323">
        <f t="shared" si="66"/>
        <v>0</v>
      </c>
      <c r="AH16" s="195">
        <v>51</v>
      </c>
      <c r="AI16" s="181" t="str">
        <f t="shared" si="70"/>
        <v>3B</v>
      </c>
      <c r="AJ16" s="73">
        <v>3</v>
      </c>
      <c r="AK16" s="602" t="str" cm="1">
        <f t="array" aca="1" ref="AK16" ca="1">Ver_flag_visit</f>
        <v>🇶🇦</v>
      </c>
      <c r="AL16" s="37" t="str">
        <f ca="1">IFERROR(INDEX($BD$6:$BD$53,MATCH(AI16,$BN$6:$BN$53,0)),"")</f>
        <v>Qatar</v>
      </c>
      <c r="AM16" s="38">
        <f t="shared" ca="1" si="69"/>
        <v>0</v>
      </c>
      <c r="AN16" s="39">
        <f t="shared" ca="1" si="69"/>
        <v>0</v>
      </c>
      <c r="AO16" s="39">
        <f t="shared" ca="1" si="69"/>
        <v>0</v>
      </c>
      <c r="AP16" s="39">
        <f t="shared" ca="1" si="69"/>
        <v>0</v>
      </c>
      <c r="AQ16" s="39">
        <f t="shared" ca="1" si="69"/>
        <v>0</v>
      </c>
      <c r="AR16" s="39">
        <f t="shared" ca="1" si="69"/>
        <v>0</v>
      </c>
      <c r="AS16" s="39">
        <f t="shared" ca="1" si="69"/>
        <v>0</v>
      </c>
      <c r="AT16" s="74">
        <f t="shared" ca="1" si="69"/>
        <v>0</v>
      </c>
      <c r="AU16" s="330">
        <f ca="1">INDEX($DL$6:$DL$53,MATCH(AI16,$DP$6:$DP$53,0))</f>
        <v>1</v>
      </c>
      <c r="AV16" s="182" t="str">
        <f ca="1">INDEX($BD$6:$BD$53,MATCH(AI16,$BM$6:$BM$53,0))</f>
        <v>Qatar</v>
      </c>
      <c r="AW16" s="210"/>
      <c r="AX16" s="171"/>
      <c r="AY16" s="201" t="str">
        <f ca="1">+A15</f>
        <v>Qatar</v>
      </c>
      <c r="AZ16" s="202"/>
      <c r="BA16" s="176"/>
      <c r="BC16" s="16" t="str">
        <f ca="1">+INDEX(T_Equipos[Grupo],MATCH(WORLDCUP!BD16,T_Equipos[NombreEquipo],0))</f>
        <v>C</v>
      </c>
      <c r="BD16" s="16" t="str">
        <f ca="1">+Equipos!B12</f>
        <v>Haiti</v>
      </c>
      <c r="BE16" s="16">
        <f t="shared" ca="1" si="16"/>
        <v>0</v>
      </c>
      <c r="BF16" s="16">
        <f t="shared" ca="1" si="41"/>
        <v>0</v>
      </c>
      <c r="BG16" s="16">
        <f t="shared" ca="1" si="17"/>
        <v>0</v>
      </c>
      <c r="BH16" s="16">
        <f t="shared" ca="1" si="18"/>
        <v>0</v>
      </c>
      <c r="BI16" s="16">
        <f t="shared" ca="1" si="19"/>
        <v>0</v>
      </c>
      <c r="BJ16" s="16">
        <f t="shared" ca="1" si="20"/>
        <v>0</v>
      </c>
      <c r="BK16" s="16">
        <f t="shared" ca="1" si="21"/>
        <v>0</v>
      </c>
      <c r="BL16" s="16">
        <f t="shared" ca="1" si="42"/>
        <v>0</v>
      </c>
      <c r="BM16" s="16" t="str">
        <f t="shared" ca="1" si="22"/>
        <v>3C</v>
      </c>
      <c r="BN16" s="16" t="str">
        <f t="shared" ca="1" si="23"/>
        <v>3C</v>
      </c>
      <c r="BO16" s="16">
        <f t="shared" ca="1" si="43"/>
        <v>0</v>
      </c>
      <c r="BP16" s="16">
        <f ca="1">COUNTIFS($BO$6:$BO$53,"&gt;"&amp;BO16,$BC$6:$BC$53,INDEX(T_Equipos[Grupo],MATCH(BD16,T_Equipos[NombreEquipo],0)))+1</f>
        <v>1</v>
      </c>
      <c r="BQ16" s="16" t="str">
        <f ca="1">IF(COUNTIFS($BP$6:$BP$53,BP16,$BC$6:$BC$53,INDEX(T_Equipos[Grupo],MATCH(BD16,T_Equipos[NombreEquipo],0)))=1,"-","P."&amp;BP16&amp;" ("&amp;COUNTIFS($BP$6:$BP$53,BP16,$BC$6:$BC$53,INDEX(T_Equipos[Grupo],MATCH(BD16,T_Equipos[NombreEquipo],0)))&amp;")")</f>
        <v>P.1 (4)</v>
      </c>
      <c r="BR16" s="16">
        <f t="shared" ca="1" si="44"/>
        <v>0</v>
      </c>
      <c r="BS16" s="16">
        <f ca="1">BP16+COUNTIFS($BQ$6:$BQ$53,BQ16,$BR$6:BR$53,"&gt;"&amp;BR16,$BC$6:$BC$53,INDEX(T_Equipos[Grupo],MATCH(BD16,T_Equipos[NombreEquipo],0)))</f>
        <v>1</v>
      </c>
      <c r="BT16" s="16" t="str">
        <f ca="1">IF(COUNTIFS($BS$6:$BS$53,BS16,$BC$6:$BC$53,INDEX(T_Equipos[Grupo],MATCH(BD16,T_Equipos[NombreEquipo],0)))=1,"-","P."&amp;BS16&amp;" ("&amp;COUNTIFS($BS$6:$BS$53,BS16,$BC$6:$BC$53,INDEX(T_Equipos[Grupo],MATCH(BD16,T_Equipos[NombreEquipo],0)))&amp;")")</f>
        <v>P.1 (4)</v>
      </c>
      <c r="BU16" s="16">
        <f t="shared" ca="1" si="24"/>
        <v>0</v>
      </c>
      <c r="BV16" s="16">
        <f t="shared" ca="1" si="25"/>
        <v>0</v>
      </c>
      <c r="BW16" s="16">
        <f t="shared" ca="1" si="26"/>
        <v>0</v>
      </c>
      <c r="BX16" s="16">
        <f t="shared" ca="1" si="48"/>
        <v>0</v>
      </c>
      <c r="BY16" s="16">
        <f ca="1">BS16+COUNTIFS($BT$6:$BT$53,BT16,$BX$6:BX$53,"&gt;"&amp;BX16,$BC$6:$BC$53,INDEX(T_Equipos[Grupo],MATCH(BD16,T_Equipos[NombreEquipo],0)))</f>
        <v>1</v>
      </c>
      <c r="BZ16" s="16" t="str">
        <f ca="1">IF(COUNTIFS($BY$6:$BY$53,BY16,$BC$6:$BC$53,INDEX(T_Equipos[Grupo],MATCH(BD16,T_Equipos[NombreEquipo],0)))=1,"-","P."&amp;BY16&amp;" ("&amp;COUNTIFS($BY$6:$BY$53,BY16,$BC$6:$BC$53,INDEX(T_Equipos[Grupo],MATCH(BD16,T_Equipos[NombreEquipo],0)))&amp;")")</f>
        <v>P.1 (4)</v>
      </c>
      <c r="CA16" s="16">
        <f t="shared" ca="1" si="27"/>
        <v>0</v>
      </c>
      <c r="CB16" s="16">
        <f t="shared" ca="1" si="28"/>
        <v>0</v>
      </c>
      <c r="CC16" s="16">
        <f t="shared" ca="1" si="49"/>
        <v>0</v>
      </c>
      <c r="CD16" s="16">
        <f ca="1">BY16+COUNTIFS($BZ$6:$BZ$53,BZ16,$CC$6:CC$53,"&gt;"&amp;CC16,$BC$6:$BC$53,INDEX(T_Equipos[Grupo],MATCH(BD16,T_Equipos[NombreEquipo],0)))</f>
        <v>1</v>
      </c>
      <c r="CE16" s="16" t="str">
        <f ca="1">IF(COUNTIFS($CD$6:$CD$53,CD16,$BC$6:$BC$53,INDEX(T_Equipos[Grupo],MATCH(BD16,T_Equipos[NombreEquipo],0)))=1,"-","P."&amp;CD16&amp;" ("&amp;COUNTIFS($CD$6:$CD$53,CD16,$BC$6:$BC$53,INDEX(T_Equipos[Grupo],MATCH(BD16,T_Equipos[NombreEquipo],0)))&amp;")")</f>
        <v>P.1 (4)</v>
      </c>
      <c r="CF16" s="16">
        <f t="shared" ca="1" si="29"/>
        <v>0</v>
      </c>
      <c r="CG16" s="16">
        <f ca="1">CD16+COUNTIFS($CE$6:$CE$53,CE16,$CF$6:CF$53,"&gt;"&amp;CF16,$BC$6:$BC$53,INDEX(T_Equipos[Grupo],MATCH(BD16,T_Equipos[NombreEquipo],0)))</f>
        <v>1</v>
      </c>
      <c r="CH16" s="16" t="str">
        <f ca="1">IF(COUNTIFS($CG$6:$CG$53,CG16,$BC$6:$BC$53,INDEX(T_Equipos[Grupo],MATCH(BD16,T_Equipos[NombreEquipo],0)))=1,"-","P."&amp;CG16&amp;" ("&amp;COUNTIFS($CG$6:$CG$53,CG16,$BC$6:$BC$53,INDEX(T_Equipos[Grupo],MATCH(BD16,T_Equipos[NombreEquipo],0)))&amp;")")</f>
        <v>P.1 (4)</v>
      </c>
      <c r="CI16" s="16">
        <f t="shared" ca="1" si="30"/>
        <v>0</v>
      </c>
      <c r="CJ16" s="16">
        <f t="shared" ca="1" si="31"/>
        <v>0</v>
      </c>
      <c r="CK16" s="16">
        <f t="shared" ca="1" si="32"/>
        <v>0</v>
      </c>
      <c r="CL16" s="16">
        <f t="shared" ca="1" si="50"/>
        <v>0</v>
      </c>
      <c r="CM16" s="16">
        <f ca="1">CG16+COUNTIFS($CH$6:$CH$53,CH16,$CL$6:CL$53,"&gt;"&amp;CL16,$BC$6:$BC$53,INDEX(T_Equipos[Grupo],MATCH(BD16,T_Equipos[NombreEquipo],0)))</f>
        <v>1</v>
      </c>
      <c r="CN16" s="16" t="str">
        <f ca="1">IF(COUNTIFS($CM$6:$CM$53,CM16,$BC$6:$BC$53,INDEX(T_Equipos[Grupo],MATCH(BD16,T_Equipos[NombreEquipo],0)))=1,"-","P."&amp;CM16&amp;" ("&amp;COUNTIFS($CM$6:$CM$53,CM16,$BC$6:$BC$53,INDEX(T_Equipos[Grupo],MATCH(BD16,T_Equipos[NombreEquipo],0)))&amp;")")</f>
        <v>P.1 (4)</v>
      </c>
      <c r="CO16" s="16">
        <f t="shared" ca="1" si="33"/>
        <v>0</v>
      </c>
      <c r="CP16" s="16">
        <f t="shared" ca="1" si="34"/>
        <v>0</v>
      </c>
      <c r="CQ16" s="16">
        <f t="shared" ca="1" si="51"/>
        <v>0</v>
      </c>
      <c r="CR16" s="16">
        <f ca="1">CM16+COUNTIFS($CN$6:$CN$53,CN16,$CQ$6:CQ$53,"&gt;"&amp;CQ16,$BC$6:$BC$53,INDEX(T_Equipos[Grupo],MATCH(BD16,T_Equipos[NombreEquipo],0)))</f>
        <v>1</v>
      </c>
      <c r="CS16" s="16" t="str">
        <f ca="1">IF(COUNTIFS($CR$6:$CR$53,CR16,$BC$6:$BC$53,INDEX(T_Equipos[Grupo],MATCH(BD16,T_Equipos[NombreEquipo],0)))=1,"-","P."&amp;CR16&amp;" ("&amp;COUNTIFS($CR$6:$CR$53,CR16,$BC$6:$BC$53,INDEX(T_Equipos[Grupo],MATCH(BD16,T_Equipos[NombreEquipo],0)))&amp;")")</f>
        <v>P.1 (4)</v>
      </c>
      <c r="CT16" s="16">
        <f t="shared" ca="1" si="35"/>
        <v>0</v>
      </c>
      <c r="CU16" s="16">
        <f ca="1">CR16+COUNTIFS($CS$6:$CS$53,CS16,$CT$6:CT$53,"&gt;"&amp;CT16,$BC$6:$BC$53,INDEX(T_Equipos[Grupo],MATCH(BD16,T_Equipos[NombreEquipo],0)))</f>
        <v>1</v>
      </c>
      <c r="CV16" s="16" t="str">
        <f ca="1">IF(COUNTIFS($CU$6:$CU$53,CU16,$BC$6:$BC$53,INDEX(T_Equipos[Grupo],MATCH(BD16,T_Equipos[NombreEquipo],0)))=1,"-","P."&amp;CU16&amp;" ("&amp;COUNTIFS($CU$6:$CU$53,CU16,$BC$6:$BC$53,INDEX(T_Equipos[Grupo],MATCH(BD16,T_Equipos[NombreEquipo],0)))&amp;")")</f>
        <v>P.1 (4)</v>
      </c>
      <c r="CW16" s="16">
        <f t="shared" ca="1" si="36"/>
        <v>0</v>
      </c>
      <c r="CX16" s="16">
        <f ca="1">CU16+COUNTIFS($CV$6:$CV$53,CV16,$CW$6:CW$53,"&gt;"&amp;CW16,$BC$6:$BC$53,INDEX(T_Equipos[Grupo],MATCH(BD16,T_Equipos[NombreEquipo],0)))</f>
        <v>1</v>
      </c>
      <c r="CY16" s="16" t="str">
        <f ca="1">IF(COUNTIFS($CX$6:$CX$53,CX16,$BC$6:$BC$53,INDEX(T_Equipos[Grupo],MATCH(BD16,T_Equipos[NombreEquipo],0)))=1,"-","P."&amp;CX16&amp;" ("&amp;COUNTIFS($CX$6:$CX$53,CX16,$BC$6:$BC$53,INDEX(T_Equipos[Grupo],MATCH(BD16,T_Equipos[NombreEquipo],0)))&amp;")")</f>
        <v>P.1 (4)</v>
      </c>
      <c r="CZ16" s="16">
        <f t="shared" ca="1" si="37"/>
        <v>0</v>
      </c>
      <c r="DA16" s="16">
        <f ca="1">CX16+COUNTIFS($CY$6:$CY$53,CY16,$CZ$6:CZ$53,"&gt;"&amp;CZ16,$BC$6:$BC$53,INDEX(T_Equipos[Grupo],MATCH(BD16,T_Equipos[NombreEquipo],0)))</f>
        <v>1</v>
      </c>
      <c r="DB16" s="16" t="str">
        <f ca="1">IF(COUNTIFS($DA$6:$DA$53,DA16,$BC$6:$BC$53,INDEX(T_Equipos[Grupo],MATCH(BD16,T_Equipos[NombreEquipo],0)))=1,"-","P."&amp;DA16&amp;" ("&amp;COUNTIFS($DA$6:$DA$53,DA16,$BC$6:$BC$53,INDEX(T_Equipos[Grupo],MATCH(BD16,T_Equipos[NombreEquipo],0)))&amp;")")</f>
        <v>P.1 (4)</v>
      </c>
      <c r="DC16" s="16">
        <f ca="1">IF(DB16="-","-",COUNTIFS(T_Equipos[Rank],"&lt;"&amp;INDEX(T_Equipos[Rank],MATCH(BD16,T_Equipos[NombreEquipo],0)),$BC$6:$BC$53,INDEX(T_Equipos[Grupo],MATCH(BD16,T_Equipos[NombreEquipo],0)))+1)</f>
        <v>3</v>
      </c>
      <c r="DD16" s="16">
        <f ca="1">DA16+COUNTIFS($DB$6:$DB$53,DB16,$DC$6:DC$53,"&lt;"&amp;DC16,$BC$6:$BC$53,INDEX(T_Equipos[Grupo],MATCH(BD16,T_Equipos[NombreEquipo],0)))</f>
        <v>3</v>
      </c>
      <c r="DE16" s="16"/>
      <c r="DF16" s="16">
        <f t="shared" ca="1" si="52"/>
        <v>3</v>
      </c>
      <c r="DG16" s="16">
        <f ca="1">IF(DB16="-","-",COUNTIFS(DF$6:DF$53,"&lt;"&amp;DF16,$BC$6:$BC$53,INDEX(T_Equipos[Grupo],MATCH(BD16,T_Equipos[NombreEquipo],0))))</f>
        <v>2</v>
      </c>
      <c r="DH16" s="16">
        <f ca="1">DA16+COUNTIFS(DB$6:DB$53,DB16,DG$6:DG$53,"&lt;"&amp;DG16,$BC$6:$BC$53,INDEX(T_Equipos[Grupo],MATCH(BD16,T_Equipos[NombreEquipo],0)))</f>
        <v>3</v>
      </c>
      <c r="DI16" s="16"/>
      <c r="DJ16" s="16">
        <f t="shared" ca="1" si="38"/>
        <v>1</v>
      </c>
      <c r="DK16" s="16">
        <f t="shared" ca="1" si="39"/>
        <v>0</v>
      </c>
      <c r="DL16" s="16">
        <f t="shared" ca="1" si="40"/>
        <v>1</v>
      </c>
      <c r="DM16" s="16" t="str">
        <f t="shared" ca="1" si="46"/>
        <v>1.1</v>
      </c>
      <c r="DN16" s="16" cm="1">
        <f t="array" aca="1" ref="DN16" ca="1">OFFSET(Horarios!$P$3,DJ16-1,0,DL16,1)</f>
        <v>1</v>
      </c>
      <c r="DO16" s="16"/>
      <c r="DP16" s="16" t="s">
        <v>92</v>
      </c>
      <c r="DQ16" s="16" t="str">
        <f t="shared" ca="1" si="47"/>
        <v>Haiti</v>
      </c>
    </row>
    <row r="17" spans="1:121" ht="16" customHeight="1" thickBot="1" x14ac:dyDescent="0.25">
      <c r="A17" s="16"/>
      <c r="B17" s="16"/>
      <c r="C17" s="16"/>
      <c r="D17" s="16" t="str">
        <f t="shared" si="53"/>
        <v>Pendiente</v>
      </c>
      <c r="E17" s="16" t="str">
        <f t="shared" si="54"/>
        <v>-</v>
      </c>
      <c r="F17" s="16" t="str">
        <f t="shared" si="55"/>
        <v>-</v>
      </c>
      <c r="G17" s="16"/>
      <c r="H17" s="16" t="str">
        <f t="shared" si="56"/>
        <v>-</v>
      </c>
      <c r="I17" s="16" t="str">
        <f t="shared" si="57"/>
        <v>-</v>
      </c>
      <c r="J17" s="16"/>
      <c r="K17" s="16" t="str">
        <f t="shared" si="58"/>
        <v>-</v>
      </c>
      <c r="L17" s="16" t="str">
        <f t="shared" si="59"/>
        <v>-</v>
      </c>
      <c r="M17" s="16"/>
      <c r="N17" s="16" t="str">
        <f t="shared" si="60"/>
        <v>-</v>
      </c>
      <c r="O17" s="16" t="str">
        <f t="shared" si="61"/>
        <v>-</v>
      </c>
      <c r="P17" s="16"/>
      <c r="Q17" s="16" t="str">
        <f t="shared" si="62"/>
        <v>-</v>
      </c>
      <c r="R17" s="16" t="str">
        <f t="shared" si="63"/>
        <v>-</v>
      </c>
      <c r="S17" s="16"/>
      <c r="T17" s="16" t="str">
        <f t="shared" si="64"/>
        <v>-</v>
      </c>
      <c r="U17" s="16" t="str">
        <f t="shared" si="65"/>
        <v>-</v>
      </c>
      <c r="V17" s="17"/>
      <c r="W17" s="641"/>
      <c r="X17" s="28">
        <f ca="1">Horarios!C17</f>
        <v>46197.625</v>
      </c>
      <c r="Y17" s="29">
        <f ca="1">Horarios!C17</f>
        <v>46197.625</v>
      </c>
      <c r="Z17" s="30" t="str">
        <f>$Z$8</f>
        <v>R3</v>
      </c>
      <c r="AA17" s="31" t="str">
        <f ca="1">A14</f>
        <v>Bosnia and Herzegovina</v>
      </c>
      <c r="AB17" s="52" t="str" cm="1">
        <f t="array" aca="1" ref="AB17" ca="1">Ver_flag_local</f>
        <v>🇧🇦</v>
      </c>
      <c r="AC17" s="53"/>
      <c r="AD17" s="54"/>
      <c r="AE17" s="596" t="str" cm="1">
        <f t="array" aca="1" ref="AE17" ca="1">Ver_flag_visit</f>
        <v>🇶🇦</v>
      </c>
      <c r="AF17" s="33" t="str">
        <f ca="1">A15</f>
        <v>Qatar</v>
      </c>
      <c r="AG17" s="323">
        <f t="shared" si="66"/>
        <v>0</v>
      </c>
      <c r="AH17" s="195">
        <v>52</v>
      </c>
      <c r="AI17" s="181" t="str">
        <f t="shared" si="70"/>
        <v>4B</v>
      </c>
      <c r="AJ17" s="75">
        <v>4</v>
      </c>
      <c r="AK17" s="603" t="str" cm="1">
        <f t="array" aca="1" ref="AK17" ca="1">Ver_flag_visit</f>
        <v>🇨🇭</v>
      </c>
      <c r="AL17" s="76" t="str">
        <f ca="1">IFERROR(INDEX($BD$6:$BD$53,MATCH(AI17,$BN$6:$BN$53,0)),"")</f>
        <v>Switzerland</v>
      </c>
      <c r="AM17" s="77">
        <f t="shared" ca="1" si="69"/>
        <v>0</v>
      </c>
      <c r="AN17" s="78">
        <f t="shared" ca="1" si="69"/>
        <v>0</v>
      </c>
      <c r="AO17" s="78">
        <f t="shared" ca="1" si="69"/>
        <v>0</v>
      </c>
      <c r="AP17" s="78">
        <f t="shared" ca="1" si="69"/>
        <v>0</v>
      </c>
      <c r="AQ17" s="78">
        <f t="shared" ca="1" si="69"/>
        <v>0</v>
      </c>
      <c r="AR17" s="78">
        <f t="shared" ca="1" si="69"/>
        <v>0</v>
      </c>
      <c r="AS17" s="78">
        <f t="shared" ca="1" si="69"/>
        <v>0</v>
      </c>
      <c r="AT17" s="79">
        <f t="shared" ca="1" si="69"/>
        <v>0</v>
      </c>
      <c r="AU17" s="330">
        <f ca="1">INDEX($DL$6:$DL$53,MATCH(AI17,$DP$6:$DP$53,0))</f>
        <v>1</v>
      </c>
      <c r="AV17" s="182" t="str">
        <f ca="1">INDEX($BD$6:$BD$53,MATCH(AI17,$BM$6:$BM$53,0))</f>
        <v>Switzerland</v>
      </c>
      <c r="AW17" s="210"/>
      <c r="AX17" s="171"/>
      <c r="AY17" s="205" t="str">
        <f ca="1">+A16</f>
        <v>Switzerland</v>
      </c>
      <c r="AZ17" s="206"/>
      <c r="BA17" s="176"/>
      <c r="BC17" s="16" t="str">
        <f ca="1">+INDEX(T_Equipos[Grupo],MATCH(WORLDCUP!BD17,T_Equipos[NombreEquipo],0))</f>
        <v>C</v>
      </c>
      <c r="BD17" s="16" t="str">
        <f ca="1">+Equipos!B13</f>
        <v>Scotland</v>
      </c>
      <c r="BE17" s="16">
        <f t="shared" ca="1" si="16"/>
        <v>0</v>
      </c>
      <c r="BF17" s="16">
        <f t="shared" ca="1" si="41"/>
        <v>0</v>
      </c>
      <c r="BG17" s="16">
        <f t="shared" ca="1" si="17"/>
        <v>0</v>
      </c>
      <c r="BH17" s="16">
        <f t="shared" ca="1" si="18"/>
        <v>0</v>
      </c>
      <c r="BI17" s="16">
        <f t="shared" ca="1" si="19"/>
        <v>0</v>
      </c>
      <c r="BJ17" s="16">
        <f t="shared" ca="1" si="20"/>
        <v>0</v>
      </c>
      <c r="BK17" s="16">
        <f t="shared" ca="1" si="21"/>
        <v>0</v>
      </c>
      <c r="BL17" s="16">
        <f t="shared" ca="1" si="42"/>
        <v>0</v>
      </c>
      <c r="BM17" s="16" t="str">
        <f t="shared" ca="1" si="22"/>
        <v>4C</v>
      </c>
      <c r="BN17" s="16" t="str">
        <f t="shared" ca="1" si="23"/>
        <v>4C</v>
      </c>
      <c r="BO17" s="16">
        <f t="shared" ca="1" si="43"/>
        <v>0</v>
      </c>
      <c r="BP17" s="16">
        <f ca="1">COUNTIFS($BO$6:$BO$53,"&gt;"&amp;BO17,$BC$6:$BC$53,INDEX(T_Equipos[Grupo],MATCH(BD17,T_Equipos[NombreEquipo],0)))+1</f>
        <v>1</v>
      </c>
      <c r="BQ17" s="16" t="str">
        <f ca="1">IF(COUNTIFS($BP$6:$BP$53,BP17,$BC$6:$BC$53,INDEX(T_Equipos[Grupo],MATCH(BD17,T_Equipos[NombreEquipo],0)))=1,"-","P."&amp;BP17&amp;" ("&amp;COUNTIFS($BP$6:$BP$53,BP17,$BC$6:$BC$53,INDEX(T_Equipos[Grupo],MATCH(BD17,T_Equipos[NombreEquipo],0)))&amp;")")</f>
        <v>P.1 (4)</v>
      </c>
      <c r="BR17" s="16">
        <f t="shared" ca="1" si="44"/>
        <v>0</v>
      </c>
      <c r="BS17" s="16">
        <f ca="1">BP17+COUNTIFS($BQ$6:$BQ$53,BQ17,$BR$6:BR$53,"&gt;"&amp;BR17,$BC$6:$BC$53,INDEX(T_Equipos[Grupo],MATCH(BD17,T_Equipos[NombreEquipo],0)))</f>
        <v>1</v>
      </c>
      <c r="BT17" s="16" t="str">
        <f ca="1">IF(COUNTIFS($BS$6:$BS$53,BS17,$BC$6:$BC$53,INDEX(T_Equipos[Grupo],MATCH(BD17,T_Equipos[NombreEquipo],0)))=1,"-","P."&amp;BS17&amp;" ("&amp;COUNTIFS($BS$6:$BS$53,BS17,$BC$6:$BC$53,INDEX(T_Equipos[Grupo],MATCH(BD17,T_Equipos[NombreEquipo],0)))&amp;")")</f>
        <v>P.1 (4)</v>
      </c>
      <c r="BU17" s="16">
        <f t="shared" ca="1" si="24"/>
        <v>0</v>
      </c>
      <c r="BV17" s="16">
        <f t="shared" ca="1" si="25"/>
        <v>0</v>
      </c>
      <c r="BW17" s="16">
        <f t="shared" ca="1" si="26"/>
        <v>0</v>
      </c>
      <c r="BX17" s="16">
        <f t="shared" ca="1" si="48"/>
        <v>0</v>
      </c>
      <c r="BY17" s="16">
        <f ca="1">BS17+COUNTIFS($BT$6:$BT$53,BT17,$BX$6:BX$53,"&gt;"&amp;BX17,$BC$6:$BC$53,INDEX(T_Equipos[Grupo],MATCH(BD17,T_Equipos[NombreEquipo],0)))</f>
        <v>1</v>
      </c>
      <c r="BZ17" s="16" t="str">
        <f ca="1">IF(COUNTIFS($BY$6:$BY$53,BY17,$BC$6:$BC$53,INDEX(T_Equipos[Grupo],MATCH(BD17,T_Equipos[NombreEquipo],0)))=1,"-","P."&amp;BY17&amp;" ("&amp;COUNTIFS($BY$6:$BY$53,BY17,$BC$6:$BC$53,INDEX(T_Equipos[Grupo],MATCH(BD17,T_Equipos[NombreEquipo],0)))&amp;")")</f>
        <v>P.1 (4)</v>
      </c>
      <c r="CA17" s="16">
        <f t="shared" ca="1" si="27"/>
        <v>0</v>
      </c>
      <c r="CB17" s="16">
        <f t="shared" ca="1" si="28"/>
        <v>0</v>
      </c>
      <c r="CC17" s="16">
        <f t="shared" ca="1" si="49"/>
        <v>0</v>
      </c>
      <c r="CD17" s="16">
        <f ca="1">BY17+COUNTIFS($BZ$6:$BZ$53,BZ17,$CC$6:CC$53,"&gt;"&amp;CC17,$BC$6:$BC$53,INDEX(T_Equipos[Grupo],MATCH(BD17,T_Equipos[NombreEquipo],0)))</f>
        <v>1</v>
      </c>
      <c r="CE17" s="16" t="str">
        <f ca="1">IF(COUNTIFS($CD$6:$CD$53,CD17,$BC$6:$BC$53,INDEX(T_Equipos[Grupo],MATCH(BD17,T_Equipos[NombreEquipo],0)))=1,"-","P."&amp;CD17&amp;" ("&amp;COUNTIFS($CD$6:$CD$53,CD17,$BC$6:$BC$53,INDEX(T_Equipos[Grupo],MATCH(BD17,T_Equipos[NombreEquipo],0)))&amp;")")</f>
        <v>P.1 (4)</v>
      </c>
      <c r="CF17" s="16">
        <f t="shared" ca="1" si="29"/>
        <v>0</v>
      </c>
      <c r="CG17" s="16">
        <f ca="1">CD17+COUNTIFS($CE$6:$CE$53,CE17,$CF$6:CF$53,"&gt;"&amp;CF17,$BC$6:$BC$53,INDEX(T_Equipos[Grupo],MATCH(BD17,T_Equipos[NombreEquipo],0)))</f>
        <v>1</v>
      </c>
      <c r="CH17" s="16" t="str">
        <f ca="1">IF(COUNTIFS($CG$6:$CG$53,CG17,$BC$6:$BC$53,INDEX(T_Equipos[Grupo],MATCH(BD17,T_Equipos[NombreEquipo],0)))=1,"-","P."&amp;CG17&amp;" ("&amp;COUNTIFS($CG$6:$CG$53,CG17,$BC$6:$BC$53,INDEX(T_Equipos[Grupo],MATCH(BD17,T_Equipos[NombreEquipo],0)))&amp;")")</f>
        <v>P.1 (4)</v>
      </c>
      <c r="CI17" s="16">
        <f t="shared" ca="1" si="30"/>
        <v>0</v>
      </c>
      <c r="CJ17" s="16">
        <f t="shared" ca="1" si="31"/>
        <v>0</v>
      </c>
      <c r="CK17" s="16">
        <f t="shared" ca="1" si="32"/>
        <v>0</v>
      </c>
      <c r="CL17" s="16">
        <f t="shared" ca="1" si="50"/>
        <v>0</v>
      </c>
      <c r="CM17" s="16">
        <f ca="1">CG17+COUNTIFS($CH$6:$CH$53,CH17,$CL$6:CL$53,"&gt;"&amp;CL17,$BC$6:$BC$53,INDEX(T_Equipos[Grupo],MATCH(BD17,T_Equipos[NombreEquipo],0)))</f>
        <v>1</v>
      </c>
      <c r="CN17" s="16" t="str">
        <f ca="1">IF(COUNTIFS($CM$6:$CM$53,CM17,$BC$6:$BC$53,INDEX(T_Equipos[Grupo],MATCH(BD17,T_Equipos[NombreEquipo],0)))=1,"-","P."&amp;CM17&amp;" ("&amp;COUNTIFS($CM$6:$CM$53,CM17,$BC$6:$BC$53,INDEX(T_Equipos[Grupo],MATCH(BD17,T_Equipos[NombreEquipo],0)))&amp;")")</f>
        <v>P.1 (4)</v>
      </c>
      <c r="CO17" s="16">
        <f t="shared" ca="1" si="33"/>
        <v>0</v>
      </c>
      <c r="CP17" s="16">
        <f t="shared" ca="1" si="34"/>
        <v>0</v>
      </c>
      <c r="CQ17" s="16">
        <f t="shared" ca="1" si="51"/>
        <v>0</v>
      </c>
      <c r="CR17" s="16">
        <f ca="1">CM17+COUNTIFS($CN$6:$CN$53,CN17,$CQ$6:CQ$53,"&gt;"&amp;CQ17,$BC$6:$BC$53,INDEX(T_Equipos[Grupo],MATCH(BD17,T_Equipos[NombreEquipo],0)))</f>
        <v>1</v>
      </c>
      <c r="CS17" s="16" t="str">
        <f ca="1">IF(COUNTIFS($CR$6:$CR$53,CR17,$BC$6:$BC$53,INDEX(T_Equipos[Grupo],MATCH(BD17,T_Equipos[NombreEquipo],0)))=1,"-","P."&amp;CR17&amp;" ("&amp;COUNTIFS($CR$6:$CR$53,CR17,$BC$6:$BC$53,INDEX(T_Equipos[Grupo],MATCH(BD17,T_Equipos[NombreEquipo],0)))&amp;")")</f>
        <v>P.1 (4)</v>
      </c>
      <c r="CT17" s="16">
        <f t="shared" ca="1" si="35"/>
        <v>0</v>
      </c>
      <c r="CU17" s="16">
        <f ca="1">CR17+COUNTIFS($CS$6:$CS$53,CS17,$CT$6:CT$53,"&gt;"&amp;CT17,$BC$6:$BC$53,INDEX(T_Equipos[Grupo],MATCH(BD17,T_Equipos[NombreEquipo],0)))</f>
        <v>1</v>
      </c>
      <c r="CV17" s="16" t="str">
        <f ca="1">IF(COUNTIFS($CU$6:$CU$53,CU17,$BC$6:$BC$53,INDEX(T_Equipos[Grupo],MATCH(BD17,T_Equipos[NombreEquipo],0)))=1,"-","P."&amp;CU17&amp;" ("&amp;COUNTIFS($CU$6:$CU$53,CU17,$BC$6:$BC$53,INDEX(T_Equipos[Grupo],MATCH(BD17,T_Equipos[NombreEquipo],0)))&amp;")")</f>
        <v>P.1 (4)</v>
      </c>
      <c r="CW17" s="16">
        <f t="shared" ca="1" si="36"/>
        <v>0</v>
      </c>
      <c r="CX17" s="16">
        <f ca="1">CU17+COUNTIFS($CV$6:$CV$53,CV17,$CW$6:CW$53,"&gt;"&amp;CW17,$BC$6:$BC$53,INDEX(T_Equipos[Grupo],MATCH(BD17,T_Equipos[NombreEquipo],0)))</f>
        <v>1</v>
      </c>
      <c r="CY17" s="16" t="str">
        <f ca="1">IF(COUNTIFS($CX$6:$CX$53,CX17,$BC$6:$BC$53,INDEX(T_Equipos[Grupo],MATCH(BD17,T_Equipos[NombreEquipo],0)))=1,"-","P."&amp;CX17&amp;" ("&amp;COUNTIFS($CX$6:$CX$53,CX17,$BC$6:$BC$53,INDEX(T_Equipos[Grupo],MATCH(BD17,T_Equipos[NombreEquipo],0)))&amp;")")</f>
        <v>P.1 (4)</v>
      </c>
      <c r="CZ17" s="16">
        <f t="shared" ca="1" si="37"/>
        <v>0</v>
      </c>
      <c r="DA17" s="16">
        <f ca="1">CX17+COUNTIFS($CY$6:$CY$53,CY17,$CZ$6:CZ$53,"&gt;"&amp;CZ17,$BC$6:$BC$53,INDEX(T_Equipos[Grupo],MATCH(BD17,T_Equipos[NombreEquipo],0)))</f>
        <v>1</v>
      </c>
      <c r="DB17" s="16" t="str">
        <f ca="1">IF(COUNTIFS($DA$6:$DA$53,DA17,$BC$6:$BC$53,INDEX(T_Equipos[Grupo],MATCH(BD17,T_Equipos[NombreEquipo],0)))=1,"-","P."&amp;DA17&amp;" ("&amp;COUNTIFS($DA$6:$DA$53,DA17,$BC$6:$BC$53,INDEX(T_Equipos[Grupo],MATCH(BD17,T_Equipos[NombreEquipo],0)))&amp;")")</f>
        <v>P.1 (4)</v>
      </c>
      <c r="DC17" s="16">
        <f ca="1">IF(DB17="-","-",COUNTIFS(T_Equipos[Rank],"&lt;"&amp;INDEX(T_Equipos[Rank],MATCH(BD17,T_Equipos[NombreEquipo],0)),$BC$6:$BC$53,INDEX(T_Equipos[Grupo],MATCH(BD17,T_Equipos[NombreEquipo],0)))+1)</f>
        <v>4</v>
      </c>
      <c r="DD17" s="16">
        <f ca="1">DA17+COUNTIFS($DB$6:$DB$53,DB17,$DC$6:DC$53,"&lt;"&amp;DC17,$BC$6:$BC$53,INDEX(T_Equipos[Grupo],MATCH(BD17,T_Equipos[NombreEquipo],0)))</f>
        <v>4</v>
      </c>
      <c r="DE17" s="16"/>
      <c r="DF17" s="16">
        <f t="shared" ca="1" si="52"/>
        <v>4</v>
      </c>
      <c r="DG17" s="16">
        <f ca="1">IF(DB17="-","-",COUNTIFS(DF$6:DF$53,"&lt;"&amp;DF17,$BC$6:$BC$53,INDEX(T_Equipos[Grupo],MATCH(BD17,T_Equipos[NombreEquipo],0))))</f>
        <v>3</v>
      </c>
      <c r="DH17" s="16">
        <f ca="1">DA17+COUNTIFS(DB$6:DB$53,DB17,DG$6:DG$53,"&lt;"&amp;DG17,$BC$6:$BC$53,INDEX(T_Equipos[Grupo],MATCH(BD17,T_Equipos[NombreEquipo],0)))</f>
        <v>4</v>
      </c>
      <c r="DI17" s="16"/>
      <c r="DJ17" s="16">
        <f t="shared" ca="1" si="38"/>
        <v>1</v>
      </c>
      <c r="DK17" s="16">
        <f t="shared" ca="1" si="39"/>
        <v>0</v>
      </c>
      <c r="DL17" s="16">
        <f t="shared" ca="1" si="40"/>
        <v>1</v>
      </c>
      <c r="DM17" s="16" t="str">
        <f t="shared" ca="1" si="46"/>
        <v>1.1</v>
      </c>
      <c r="DN17" s="16" cm="1">
        <f t="array" aca="1" ref="DN17" ca="1">OFFSET(Horarios!$P$3,DJ17-1,0,DL17,1)</f>
        <v>1</v>
      </c>
      <c r="DO17" s="16"/>
      <c r="DP17" s="16" t="s">
        <v>668</v>
      </c>
      <c r="DQ17" s="16" t="str">
        <f t="shared" ca="1" si="47"/>
        <v>Scotland</v>
      </c>
    </row>
    <row r="18" spans="1:121" ht="16" customHeight="1" thickBot="1" x14ac:dyDescent="0.25">
      <c r="A18" s="16"/>
      <c r="B18" s="16"/>
      <c r="C18" s="16"/>
      <c r="D18" s="16"/>
      <c r="E18" s="16"/>
      <c r="F18" s="16"/>
      <c r="G18" s="16"/>
      <c r="H18" s="16"/>
      <c r="I18" s="16"/>
      <c r="J18" s="16"/>
      <c r="K18" s="16"/>
      <c r="L18" s="16"/>
      <c r="M18" s="16"/>
      <c r="N18" s="16"/>
      <c r="O18" s="16"/>
      <c r="P18" s="16"/>
      <c r="Q18" s="16"/>
      <c r="R18" s="16"/>
      <c r="S18" s="16"/>
      <c r="T18" s="16"/>
      <c r="U18" s="16"/>
      <c r="V18" s="17"/>
      <c r="W18" s="154"/>
      <c r="X18" s="155"/>
      <c r="Y18" s="154"/>
      <c r="Z18" s="156"/>
      <c r="AA18" s="157"/>
      <c r="AB18" s="158"/>
      <c r="AC18" s="151"/>
      <c r="AD18" s="151"/>
      <c r="AE18" s="158"/>
      <c r="AF18" s="159"/>
      <c r="AG18" s="325"/>
      <c r="AH18" s="195"/>
      <c r="AI18" s="180"/>
      <c r="AJ18" s="160"/>
      <c r="AK18" s="161"/>
      <c r="AL18" s="162"/>
      <c r="AM18" s="163"/>
      <c r="AN18" s="160"/>
      <c r="AO18" s="160"/>
      <c r="AP18" s="160"/>
      <c r="AQ18" s="160"/>
      <c r="AR18" s="160"/>
      <c r="AS18" s="160"/>
      <c r="AT18" s="160"/>
      <c r="AU18" s="330"/>
      <c r="AV18" s="189"/>
      <c r="AW18" s="211"/>
      <c r="AX18" s="171"/>
      <c r="AY18" s="154"/>
      <c r="AZ18" s="155"/>
      <c r="BA18" s="176"/>
      <c r="BC18" s="16" t="str">
        <f ca="1">+INDEX(T_Equipos[Grupo],MATCH(WORLDCUP!BD18,T_Equipos[NombreEquipo],0))</f>
        <v>D</v>
      </c>
      <c r="BD18" s="16" t="str">
        <f ca="1">+Equipos!B14</f>
        <v>United States</v>
      </c>
      <c r="BE18" s="16">
        <f t="shared" ca="1" si="16"/>
        <v>0</v>
      </c>
      <c r="BF18" s="16">
        <f t="shared" ca="1" si="41"/>
        <v>0</v>
      </c>
      <c r="BG18" s="16">
        <f t="shared" ca="1" si="17"/>
        <v>0</v>
      </c>
      <c r="BH18" s="16">
        <f t="shared" ca="1" si="18"/>
        <v>0</v>
      </c>
      <c r="BI18" s="16">
        <f t="shared" ca="1" si="19"/>
        <v>0</v>
      </c>
      <c r="BJ18" s="16">
        <f t="shared" ca="1" si="20"/>
        <v>0</v>
      </c>
      <c r="BK18" s="16">
        <f t="shared" ca="1" si="21"/>
        <v>0</v>
      </c>
      <c r="BL18" s="16">
        <f t="shared" ca="1" si="42"/>
        <v>0</v>
      </c>
      <c r="BM18" s="16" t="str">
        <f t="shared" ca="1" si="22"/>
        <v>1D</v>
      </c>
      <c r="BN18" s="16" t="str">
        <f t="shared" ca="1" si="23"/>
        <v>1D</v>
      </c>
      <c r="BO18" s="16">
        <f t="shared" ca="1" si="43"/>
        <v>0</v>
      </c>
      <c r="BP18" s="16">
        <f ca="1">COUNTIFS($BO$6:$BO$53,"&gt;"&amp;BO18,$BC$6:$BC$53,INDEX(T_Equipos[Grupo],MATCH(BD18,T_Equipos[NombreEquipo],0)))+1</f>
        <v>1</v>
      </c>
      <c r="BQ18" s="16" t="str">
        <f ca="1">IF(COUNTIFS($BP$6:$BP$53,BP18,$BC$6:$BC$53,INDEX(T_Equipos[Grupo],MATCH(BD18,T_Equipos[NombreEquipo],0)))=1,"-","P."&amp;BP18&amp;" ("&amp;COUNTIFS($BP$6:$BP$53,BP18,$BC$6:$BC$53,INDEX(T_Equipos[Grupo],MATCH(BD18,T_Equipos[NombreEquipo],0)))&amp;")")</f>
        <v>P.1 (4)</v>
      </c>
      <c r="BR18" s="16">
        <f t="shared" ca="1" si="44"/>
        <v>0</v>
      </c>
      <c r="BS18" s="16">
        <f ca="1">BP18+COUNTIFS($BQ$6:$BQ$53,BQ18,$BR$6:BR$53,"&gt;"&amp;BR18,$BC$6:$BC$53,INDEX(T_Equipos[Grupo],MATCH(BD18,T_Equipos[NombreEquipo],0)))</f>
        <v>1</v>
      </c>
      <c r="BT18" s="16" t="str">
        <f ca="1">IF(COUNTIFS($BS$6:$BS$53,BS18,$BC$6:$BC$53,INDEX(T_Equipos[Grupo],MATCH(BD18,T_Equipos[NombreEquipo],0)))=1,"-","P."&amp;BS18&amp;" ("&amp;COUNTIFS($BS$6:$BS$53,BS18,$BC$6:$BC$53,INDEX(T_Equipos[Grupo],MATCH(BD18,T_Equipos[NombreEquipo],0)))&amp;")")</f>
        <v>P.1 (4)</v>
      </c>
      <c r="BU18" s="16">
        <f t="shared" ca="1" si="24"/>
        <v>0</v>
      </c>
      <c r="BV18" s="16">
        <f t="shared" ca="1" si="25"/>
        <v>0</v>
      </c>
      <c r="BW18" s="16">
        <f t="shared" ca="1" si="26"/>
        <v>0</v>
      </c>
      <c r="BX18" s="16">
        <f t="shared" ca="1" si="48"/>
        <v>0</v>
      </c>
      <c r="BY18" s="16">
        <f ca="1">BS18+COUNTIFS($BT$6:$BT$53,BT18,$BX$6:BX$53,"&gt;"&amp;BX18,$BC$6:$BC$53,INDEX(T_Equipos[Grupo],MATCH(BD18,T_Equipos[NombreEquipo],0)))</f>
        <v>1</v>
      </c>
      <c r="BZ18" s="16" t="str">
        <f ca="1">IF(COUNTIFS($BY$6:$BY$53,BY18,$BC$6:$BC$53,INDEX(T_Equipos[Grupo],MATCH(BD18,T_Equipos[NombreEquipo],0)))=1,"-","P."&amp;BY18&amp;" ("&amp;COUNTIFS($BY$6:$BY$53,BY18,$BC$6:$BC$53,INDEX(T_Equipos[Grupo],MATCH(BD18,T_Equipos[NombreEquipo],0)))&amp;")")</f>
        <v>P.1 (4)</v>
      </c>
      <c r="CA18" s="16">
        <f t="shared" ca="1" si="27"/>
        <v>0</v>
      </c>
      <c r="CB18" s="16">
        <f t="shared" ca="1" si="28"/>
        <v>0</v>
      </c>
      <c r="CC18" s="16">
        <f t="shared" ca="1" si="49"/>
        <v>0</v>
      </c>
      <c r="CD18" s="16">
        <f ca="1">BY18+COUNTIFS($BZ$6:$BZ$53,BZ18,$CC$6:CC$53,"&gt;"&amp;CC18,$BC$6:$BC$53,INDEX(T_Equipos[Grupo],MATCH(BD18,T_Equipos[NombreEquipo],0)))</f>
        <v>1</v>
      </c>
      <c r="CE18" s="16" t="str">
        <f ca="1">IF(COUNTIFS($CD$6:$CD$53,CD18,$BC$6:$BC$53,INDEX(T_Equipos[Grupo],MATCH(BD18,T_Equipos[NombreEquipo],0)))=1,"-","P."&amp;CD18&amp;" ("&amp;COUNTIFS($CD$6:$CD$53,CD18,$BC$6:$BC$53,INDEX(T_Equipos[Grupo],MATCH(BD18,T_Equipos[NombreEquipo],0)))&amp;")")</f>
        <v>P.1 (4)</v>
      </c>
      <c r="CF18" s="16">
        <f t="shared" ca="1" si="29"/>
        <v>0</v>
      </c>
      <c r="CG18" s="16">
        <f ca="1">CD18+COUNTIFS($CE$6:$CE$53,CE18,$CF$6:CF$53,"&gt;"&amp;CF18,$BC$6:$BC$53,INDEX(T_Equipos[Grupo],MATCH(BD18,T_Equipos[NombreEquipo],0)))</f>
        <v>1</v>
      </c>
      <c r="CH18" s="16" t="str">
        <f ca="1">IF(COUNTIFS($CG$6:$CG$53,CG18,$BC$6:$BC$53,INDEX(T_Equipos[Grupo],MATCH(BD18,T_Equipos[NombreEquipo],0)))=1,"-","P."&amp;CG18&amp;" ("&amp;COUNTIFS($CG$6:$CG$53,CG18,$BC$6:$BC$53,INDEX(T_Equipos[Grupo],MATCH(BD18,T_Equipos[NombreEquipo],0)))&amp;")")</f>
        <v>P.1 (4)</v>
      </c>
      <c r="CI18" s="16">
        <f t="shared" ca="1" si="30"/>
        <v>0</v>
      </c>
      <c r="CJ18" s="16">
        <f t="shared" ca="1" si="31"/>
        <v>0</v>
      </c>
      <c r="CK18" s="16">
        <f t="shared" ca="1" si="32"/>
        <v>0</v>
      </c>
      <c r="CL18" s="16">
        <f t="shared" ca="1" si="50"/>
        <v>0</v>
      </c>
      <c r="CM18" s="16">
        <f ca="1">CG18+COUNTIFS($CH$6:$CH$53,CH18,$CL$6:CL$53,"&gt;"&amp;CL18,$BC$6:$BC$53,INDEX(T_Equipos[Grupo],MATCH(BD18,T_Equipos[NombreEquipo],0)))</f>
        <v>1</v>
      </c>
      <c r="CN18" s="16" t="str">
        <f ca="1">IF(COUNTIFS($CM$6:$CM$53,CM18,$BC$6:$BC$53,INDEX(T_Equipos[Grupo],MATCH(BD18,T_Equipos[NombreEquipo],0)))=1,"-","P."&amp;CM18&amp;" ("&amp;COUNTIFS($CM$6:$CM$53,CM18,$BC$6:$BC$53,INDEX(T_Equipos[Grupo],MATCH(BD18,T_Equipos[NombreEquipo],0)))&amp;")")</f>
        <v>P.1 (4)</v>
      </c>
      <c r="CO18" s="16">
        <f t="shared" ca="1" si="33"/>
        <v>0</v>
      </c>
      <c r="CP18" s="16">
        <f t="shared" ca="1" si="34"/>
        <v>0</v>
      </c>
      <c r="CQ18" s="16">
        <f t="shared" ca="1" si="51"/>
        <v>0</v>
      </c>
      <c r="CR18" s="16">
        <f ca="1">CM18+COUNTIFS($CN$6:$CN$53,CN18,$CQ$6:CQ$53,"&gt;"&amp;CQ18,$BC$6:$BC$53,INDEX(T_Equipos[Grupo],MATCH(BD18,T_Equipos[NombreEquipo],0)))</f>
        <v>1</v>
      </c>
      <c r="CS18" s="16" t="str">
        <f ca="1">IF(COUNTIFS($CR$6:$CR$53,CR18,$BC$6:$BC$53,INDEX(T_Equipos[Grupo],MATCH(BD18,T_Equipos[NombreEquipo],0)))=1,"-","P."&amp;CR18&amp;" ("&amp;COUNTIFS($CR$6:$CR$53,CR18,$BC$6:$BC$53,INDEX(T_Equipos[Grupo],MATCH(BD18,T_Equipos[NombreEquipo],0)))&amp;")")</f>
        <v>P.1 (4)</v>
      </c>
      <c r="CT18" s="16">
        <f t="shared" ca="1" si="35"/>
        <v>0</v>
      </c>
      <c r="CU18" s="16">
        <f ca="1">CR18+COUNTIFS($CS$6:$CS$53,CS18,$CT$6:CT$53,"&gt;"&amp;CT18,$BC$6:$BC$53,INDEX(T_Equipos[Grupo],MATCH(BD18,T_Equipos[NombreEquipo],0)))</f>
        <v>1</v>
      </c>
      <c r="CV18" s="16" t="str">
        <f ca="1">IF(COUNTIFS($CU$6:$CU$53,CU18,$BC$6:$BC$53,INDEX(T_Equipos[Grupo],MATCH(BD18,T_Equipos[NombreEquipo],0)))=1,"-","P."&amp;CU18&amp;" ("&amp;COUNTIFS($CU$6:$CU$53,CU18,$BC$6:$BC$53,INDEX(T_Equipos[Grupo],MATCH(BD18,T_Equipos[NombreEquipo],0)))&amp;")")</f>
        <v>P.1 (4)</v>
      </c>
      <c r="CW18" s="16">
        <f t="shared" ca="1" si="36"/>
        <v>0</v>
      </c>
      <c r="CX18" s="16">
        <f ca="1">CU18+COUNTIFS($CV$6:$CV$53,CV18,$CW$6:CW$53,"&gt;"&amp;CW18,$BC$6:$BC$53,INDEX(T_Equipos[Grupo],MATCH(BD18,T_Equipos[NombreEquipo],0)))</f>
        <v>1</v>
      </c>
      <c r="CY18" s="16" t="str">
        <f ca="1">IF(COUNTIFS($CX$6:$CX$53,CX18,$BC$6:$BC$53,INDEX(T_Equipos[Grupo],MATCH(BD18,T_Equipos[NombreEquipo],0)))=1,"-","P."&amp;CX18&amp;" ("&amp;COUNTIFS($CX$6:$CX$53,CX18,$BC$6:$BC$53,INDEX(T_Equipos[Grupo],MATCH(BD18,T_Equipos[NombreEquipo],0)))&amp;")")</f>
        <v>P.1 (4)</v>
      </c>
      <c r="CZ18" s="16">
        <f t="shared" ca="1" si="37"/>
        <v>0</v>
      </c>
      <c r="DA18" s="16">
        <f ca="1">CX18+COUNTIFS($CY$6:$CY$53,CY18,$CZ$6:CZ$53,"&gt;"&amp;CZ18,$BC$6:$BC$53,INDEX(T_Equipos[Grupo],MATCH(BD18,T_Equipos[NombreEquipo],0)))</f>
        <v>1</v>
      </c>
      <c r="DB18" s="16" t="str">
        <f ca="1">IF(COUNTIFS($DA$6:$DA$53,DA18,$BC$6:$BC$53,INDEX(T_Equipos[Grupo],MATCH(BD18,T_Equipos[NombreEquipo],0)))=1,"-","P."&amp;DA18&amp;" ("&amp;COUNTIFS($DA$6:$DA$53,DA18,$BC$6:$BC$53,INDEX(T_Equipos[Grupo],MATCH(BD18,T_Equipos[NombreEquipo],0)))&amp;")")</f>
        <v>P.1 (4)</v>
      </c>
      <c r="DC18" s="16">
        <f ca="1">IF(DB18="-","-",COUNTIFS(T_Equipos[Rank],"&lt;"&amp;INDEX(T_Equipos[Rank],MATCH(BD18,T_Equipos[NombreEquipo],0)),$BC$6:$BC$53,INDEX(T_Equipos[Grupo],MATCH(BD18,T_Equipos[NombreEquipo],0)))+1)</f>
        <v>1</v>
      </c>
      <c r="DD18" s="16">
        <f ca="1">DA18+COUNTIFS($DB$6:$DB$53,DB18,$DC$6:DC$53,"&lt;"&amp;DC18,$BC$6:$BC$53,INDEX(T_Equipos[Grupo],MATCH(BD18,T_Equipos[NombreEquipo],0)))</f>
        <v>1</v>
      </c>
      <c r="DE18" s="16"/>
      <c r="DF18" s="16">
        <f t="shared" ca="1" si="52"/>
        <v>1</v>
      </c>
      <c r="DG18" s="16">
        <f ca="1">IF(DB18="-","-",COUNTIFS(DF$6:DF$53,"&lt;"&amp;DF18,$BC$6:$BC$53,INDEX(T_Equipos[Grupo],MATCH(BD18,T_Equipos[NombreEquipo],0))))</f>
        <v>0</v>
      </c>
      <c r="DH18" s="16">
        <f ca="1">DA18+COUNTIFS(DB$6:DB$53,DB18,DG$6:DG$53,"&lt;"&amp;DG18,$BC$6:$BC$53,INDEX(T_Equipos[Grupo],MATCH(BD18,T_Equipos[NombreEquipo],0)))</f>
        <v>1</v>
      </c>
      <c r="DI18" s="16"/>
      <c r="DJ18" s="16">
        <f t="shared" ca="1" si="38"/>
        <v>1</v>
      </c>
      <c r="DK18" s="16">
        <f t="shared" ca="1" si="39"/>
        <v>0</v>
      </c>
      <c r="DL18" s="16">
        <f t="shared" ca="1" si="40"/>
        <v>1</v>
      </c>
      <c r="DM18" s="16" t="str">
        <f t="shared" ca="1" si="46"/>
        <v>1.1</v>
      </c>
      <c r="DN18" s="16" cm="1">
        <f t="array" aca="1" ref="DN18" ca="1">OFFSET(Horarios!$P$3,DJ18-1,0,DL18,1)</f>
        <v>1</v>
      </c>
      <c r="DO18" s="16"/>
      <c r="DP18" s="16" t="s">
        <v>669</v>
      </c>
      <c r="DQ18" s="16" t="str">
        <f t="shared" ca="1" si="47"/>
        <v>United States</v>
      </c>
    </row>
    <row r="19" spans="1:121" ht="16" customHeight="1" thickBot="1" x14ac:dyDescent="0.25">
      <c r="A19" s="16"/>
      <c r="B19" s="16"/>
      <c r="C19" s="16"/>
      <c r="D19" s="16"/>
      <c r="E19" s="16"/>
      <c r="F19" s="16"/>
      <c r="G19" s="16"/>
      <c r="H19" s="16"/>
      <c r="I19" s="16"/>
      <c r="J19" s="16"/>
      <c r="K19" s="16"/>
      <c r="L19" s="16"/>
      <c r="M19" s="16"/>
      <c r="N19" s="16"/>
      <c r="O19" s="16"/>
      <c r="P19" s="16"/>
      <c r="Q19" s="16"/>
      <c r="R19" s="16"/>
      <c r="S19" s="16"/>
      <c r="T19" s="16"/>
      <c r="U19" s="16"/>
      <c r="V19" s="17"/>
      <c r="W19" s="8"/>
      <c r="X19" s="69" t="str">
        <f>X3</f>
        <v>Date</v>
      </c>
      <c r="Y19" s="69" t="str">
        <f>Y3</f>
        <v>Hour</v>
      </c>
      <c r="Z19" s="55" t="str">
        <f>Z3</f>
        <v>R</v>
      </c>
      <c r="AA19" s="57" t="str">
        <f>AA3</f>
        <v>Home</v>
      </c>
      <c r="AB19" s="56"/>
      <c r="AC19" s="55" t="str">
        <f>AC3</f>
        <v>Goal</v>
      </c>
      <c r="AD19" s="55" t="str">
        <f>AD3</f>
        <v>Goal</v>
      </c>
      <c r="AE19" s="56"/>
      <c r="AF19" s="58" t="str">
        <f>AF3</f>
        <v>Away</v>
      </c>
      <c r="AG19" s="324"/>
      <c r="AH19" s="195"/>
      <c r="AI19" s="179"/>
      <c r="AJ19" s="162"/>
      <c r="AK19" s="600"/>
      <c r="AL19" s="162"/>
      <c r="AM19" s="162"/>
      <c r="AN19" s="162"/>
      <c r="AO19" s="162"/>
      <c r="AP19" s="162"/>
      <c r="AQ19" s="162"/>
      <c r="AR19" s="162"/>
      <c r="AS19" s="162"/>
      <c r="AT19" s="162"/>
      <c r="AU19" s="331"/>
      <c r="AV19" s="188"/>
      <c r="AW19" s="212"/>
      <c r="AX19" s="172"/>
      <c r="AY19" s="154"/>
      <c r="AZ19" s="155"/>
      <c r="BA19" s="176"/>
      <c r="BC19" s="16" t="str">
        <f ca="1">+INDEX(T_Equipos[Grupo],MATCH(WORLDCUP!BD19,T_Equipos[NombreEquipo],0))</f>
        <v>D</v>
      </c>
      <c r="BD19" s="16" t="str">
        <f ca="1">+Equipos!B15</f>
        <v>Paraguay</v>
      </c>
      <c r="BE19" s="16">
        <f t="shared" ca="1" si="16"/>
        <v>0</v>
      </c>
      <c r="BF19" s="16">
        <f t="shared" ca="1" si="41"/>
        <v>0</v>
      </c>
      <c r="BG19" s="16">
        <f t="shared" ca="1" si="17"/>
        <v>0</v>
      </c>
      <c r="BH19" s="16">
        <f t="shared" ca="1" si="18"/>
        <v>0</v>
      </c>
      <c r="BI19" s="16">
        <f t="shared" ca="1" si="19"/>
        <v>0</v>
      </c>
      <c r="BJ19" s="16">
        <f t="shared" ca="1" si="20"/>
        <v>0</v>
      </c>
      <c r="BK19" s="16">
        <f t="shared" ca="1" si="21"/>
        <v>0</v>
      </c>
      <c r="BL19" s="16">
        <f t="shared" ca="1" si="42"/>
        <v>0</v>
      </c>
      <c r="BM19" s="16" t="str">
        <f t="shared" ca="1" si="22"/>
        <v>2D</v>
      </c>
      <c r="BN19" s="16" t="str">
        <f t="shared" ca="1" si="23"/>
        <v>2D</v>
      </c>
      <c r="BO19" s="16">
        <f t="shared" ca="1" si="43"/>
        <v>0</v>
      </c>
      <c r="BP19" s="16">
        <f ca="1">COUNTIFS($BO$6:$BO$53,"&gt;"&amp;BO19,$BC$6:$BC$53,INDEX(T_Equipos[Grupo],MATCH(BD19,T_Equipos[NombreEquipo],0)))+1</f>
        <v>1</v>
      </c>
      <c r="BQ19" s="16" t="str">
        <f ca="1">IF(COUNTIFS($BP$6:$BP$53,BP19,$BC$6:$BC$53,INDEX(T_Equipos[Grupo],MATCH(BD19,T_Equipos[NombreEquipo],0)))=1,"-","P."&amp;BP19&amp;" ("&amp;COUNTIFS($BP$6:$BP$53,BP19,$BC$6:$BC$53,INDEX(T_Equipos[Grupo],MATCH(BD19,T_Equipos[NombreEquipo],0)))&amp;")")</f>
        <v>P.1 (4)</v>
      </c>
      <c r="BR19" s="16">
        <f t="shared" ca="1" si="44"/>
        <v>0</v>
      </c>
      <c r="BS19" s="16">
        <f ca="1">BP19+COUNTIFS($BQ$6:$BQ$53,BQ19,$BR$6:BR$53,"&gt;"&amp;BR19,$BC$6:$BC$53,INDEX(T_Equipos[Grupo],MATCH(BD19,T_Equipos[NombreEquipo],0)))</f>
        <v>1</v>
      </c>
      <c r="BT19" s="16" t="str">
        <f ca="1">IF(COUNTIFS($BS$6:$BS$53,BS19,$BC$6:$BC$53,INDEX(T_Equipos[Grupo],MATCH(BD19,T_Equipos[NombreEquipo],0)))=1,"-","P."&amp;BS19&amp;" ("&amp;COUNTIFS($BS$6:$BS$53,BS19,$BC$6:$BC$53,INDEX(T_Equipos[Grupo],MATCH(BD19,T_Equipos[NombreEquipo],0)))&amp;")")</f>
        <v>P.1 (4)</v>
      </c>
      <c r="BU19" s="16">
        <f t="shared" ca="1" si="24"/>
        <v>0</v>
      </c>
      <c r="BV19" s="16">
        <f t="shared" ca="1" si="25"/>
        <v>0</v>
      </c>
      <c r="BW19" s="16">
        <f t="shared" ca="1" si="26"/>
        <v>0</v>
      </c>
      <c r="BX19" s="16">
        <f t="shared" ca="1" si="48"/>
        <v>0</v>
      </c>
      <c r="BY19" s="16">
        <f ca="1">BS19+COUNTIFS($BT$6:$BT$53,BT19,$BX$6:BX$53,"&gt;"&amp;BX19,$BC$6:$BC$53,INDEX(T_Equipos[Grupo],MATCH(BD19,T_Equipos[NombreEquipo],0)))</f>
        <v>1</v>
      </c>
      <c r="BZ19" s="16" t="str">
        <f ca="1">IF(COUNTIFS($BY$6:$BY$53,BY19,$BC$6:$BC$53,INDEX(T_Equipos[Grupo],MATCH(BD19,T_Equipos[NombreEquipo],0)))=1,"-","P."&amp;BY19&amp;" ("&amp;COUNTIFS($BY$6:$BY$53,BY19,$BC$6:$BC$53,INDEX(T_Equipos[Grupo],MATCH(BD19,T_Equipos[NombreEquipo],0)))&amp;")")</f>
        <v>P.1 (4)</v>
      </c>
      <c r="CA19" s="16">
        <f t="shared" ca="1" si="27"/>
        <v>0</v>
      </c>
      <c r="CB19" s="16">
        <f t="shared" ca="1" si="28"/>
        <v>0</v>
      </c>
      <c r="CC19" s="16">
        <f t="shared" ca="1" si="49"/>
        <v>0</v>
      </c>
      <c r="CD19" s="16">
        <f ca="1">BY19+COUNTIFS($BZ$6:$BZ$53,BZ19,$CC$6:CC$53,"&gt;"&amp;CC19,$BC$6:$BC$53,INDEX(T_Equipos[Grupo],MATCH(BD19,T_Equipos[NombreEquipo],0)))</f>
        <v>1</v>
      </c>
      <c r="CE19" s="16" t="str">
        <f ca="1">IF(COUNTIFS($CD$6:$CD$53,CD19,$BC$6:$BC$53,INDEX(T_Equipos[Grupo],MATCH(BD19,T_Equipos[NombreEquipo],0)))=1,"-","P."&amp;CD19&amp;" ("&amp;COUNTIFS($CD$6:$CD$53,CD19,$BC$6:$BC$53,INDEX(T_Equipos[Grupo],MATCH(BD19,T_Equipos[NombreEquipo],0)))&amp;")")</f>
        <v>P.1 (4)</v>
      </c>
      <c r="CF19" s="16">
        <f t="shared" ca="1" si="29"/>
        <v>0</v>
      </c>
      <c r="CG19" s="16">
        <f ca="1">CD19+COUNTIFS($CE$6:$CE$53,CE19,$CF$6:CF$53,"&gt;"&amp;CF19,$BC$6:$BC$53,INDEX(T_Equipos[Grupo],MATCH(BD19,T_Equipos[NombreEquipo],0)))</f>
        <v>1</v>
      </c>
      <c r="CH19" s="16" t="str">
        <f ca="1">IF(COUNTIFS($CG$6:$CG$53,CG19,$BC$6:$BC$53,INDEX(T_Equipos[Grupo],MATCH(BD19,T_Equipos[NombreEquipo],0)))=1,"-","P."&amp;CG19&amp;" ("&amp;COUNTIFS($CG$6:$CG$53,CG19,$BC$6:$BC$53,INDEX(T_Equipos[Grupo],MATCH(BD19,T_Equipos[NombreEquipo],0)))&amp;")")</f>
        <v>P.1 (4)</v>
      </c>
      <c r="CI19" s="16">
        <f t="shared" ca="1" si="30"/>
        <v>0</v>
      </c>
      <c r="CJ19" s="16">
        <f t="shared" ca="1" si="31"/>
        <v>0</v>
      </c>
      <c r="CK19" s="16">
        <f t="shared" ca="1" si="32"/>
        <v>0</v>
      </c>
      <c r="CL19" s="16">
        <f t="shared" ca="1" si="50"/>
        <v>0</v>
      </c>
      <c r="CM19" s="16">
        <f ca="1">CG19+COUNTIFS($CH$6:$CH$53,CH19,$CL$6:CL$53,"&gt;"&amp;CL19,$BC$6:$BC$53,INDEX(T_Equipos[Grupo],MATCH(BD19,T_Equipos[NombreEquipo],0)))</f>
        <v>1</v>
      </c>
      <c r="CN19" s="16" t="str">
        <f ca="1">IF(COUNTIFS($CM$6:$CM$53,CM19,$BC$6:$BC$53,INDEX(T_Equipos[Grupo],MATCH(BD19,T_Equipos[NombreEquipo],0)))=1,"-","P."&amp;CM19&amp;" ("&amp;COUNTIFS($CM$6:$CM$53,CM19,$BC$6:$BC$53,INDEX(T_Equipos[Grupo],MATCH(BD19,T_Equipos[NombreEquipo],0)))&amp;")")</f>
        <v>P.1 (4)</v>
      </c>
      <c r="CO19" s="16">
        <f t="shared" ca="1" si="33"/>
        <v>0</v>
      </c>
      <c r="CP19" s="16">
        <f t="shared" ca="1" si="34"/>
        <v>0</v>
      </c>
      <c r="CQ19" s="16">
        <f t="shared" ca="1" si="51"/>
        <v>0</v>
      </c>
      <c r="CR19" s="16">
        <f ca="1">CM19+COUNTIFS($CN$6:$CN$53,CN19,$CQ$6:CQ$53,"&gt;"&amp;CQ19,$BC$6:$BC$53,INDEX(T_Equipos[Grupo],MATCH(BD19,T_Equipos[NombreEquipo],0)))</f>
        <v>1</v>
      </c>
      <c r="CS19" s="16" t="str">
        <f ca="1">IF(COUNTIFS($CR$6:$CR$53,CR19,$BC$6:$BC$53,INDEX(T_Equipos[Grupo],MATCH(BD19,T_Equipos[NombreEquipo],0)))=1,"-","P."&amp;CR19&amp;" ("&amp;COUNTIFS($CR$6:$CR$53,CR19,$BC$6:$BC$53,INDEX(T_Equipos[Grupo],MATCH(BD19,T_Equipos[NombreEquipo],0)))&amp;")")</f>
        <v>P.1 (4)</v>
      </c>
      <c r="CT19" s="16">
        <f t="shared" ca="1" si="35"/>
        <v>0</v>
      </c>
      <c r="CU19" s="16">
        <f ca="1">CR19+COUNTIFS($CS$6:$CS$53,CS19,$CT$6:CT$53,"&gt;"&amp;CT19,$BC$6:$BC$53,INDEX(T_Equipos[Grupo],MATCH(BD19,T_Equipos[NombreEquipo],0)))</f>
        <v>1</v>
      </c>
      <c r="CV19" s="16" t="str">
        <f ca="1">IF(COUNTIFS($CU$6:$CU$53,CU19,$BC$6:$BC$53,INDEX(T_Equipos[Grupo],MATCH(BD19,T_Equipos[NombreEquipo],0)))=1,"-","P."&amp;CU19&amp;" ("&amp;COUNTIFS($CU$6:$CU$53,CU19,$BC$6:$BC$53,INDEX(T_Equipos[Grupo],MATCH(BD19,T_Equipos[NombreEquipo],0)))&amp;")")</f>
        <v>P.1 (4)</v>
      </c>
      <c r="CW19" s="16">
        <f t="shared" ca="1" si="36"/>
        <v>0</v>
      </c>
      <c r="CX19" s="16">
        <f ca="1">CU19+COUNTIFS($CV$6:$CV$53,CV19,$CW$6:CW$53,"&gt;"&amp;CW19,$BC$6:$BC$53,INDEX(T_Equipos[Grupo],MATCH(BD19,T_Equipos[NombreEquipo],0)))</f>
        <v>1</v>
      </c>
      <c r="CY19" s="16" t="str">
        <f ca="1">IF(COUNTIFS($CX$6:$CX$53,CX19,$BC$6:$BC$53,INDEX(T_Equipos[Grupo],MATCH(BD19,T_Equipos[NombreEquipo],0)))=1,"-","P."&amp;CX19&amp;" ("&amp;COUNTIFS($CX$6:$CX$53,CX19,$BC$6:$BC$53,INDEX(T_Equipos[Grupo],MATCH(BD19,T_Equipos[NombreEquipo],0)))&amp;")")</f>
        <v>P.1 (4)</v>
      </c>
      <c r="CZ19" s="16">
        <f t="shared" ca="1" si="37"/>
        <v>0</v>
      </c>
      <c r="DA19" s="16">
        <f ca="1">CX19+COUNTIFS($CY$6:$CY$53,CY19,$CZ$6:CZ$53,"&gt;"&amp;CZ19,$BC$6:$BC$53,INDEX(T_Equipos[Grupo],MATCH(BD19,T_Equipos[NombreEquipo],0)))</f>
        <v>1</v>
      </c>
      <c r="DB19" s="16" t="str">
        <f ca="1">IF(COUNTIFS($DA$6:$DA$53,DA19,$BC$6:$BC$53,INDEX(T_Equipos[Grupo],MATCH(BD19,T_Equipos[NombreEquipo],0)))=1,"-","P."&amp;DA19&amp;" ("&amp;COUNTIFS($DA$6:$DA$53,DA19,$BC$6:$BC$53,INDEX(T_Equipos[Grupo],MATCH(BD19,T_Equipos[NombreEquipo],0)))&amp;")")</f>
        <v>P.1 (4)</v>
      </c>
      <c r="DC19" s="16">
        <f ca="1">IF(DB19="-","-",COUNTIFS(T_Equipos[Rank],"&lt;"&amp;INDEX(T_Equipos[Rank],MATCH(BD19,T_Equipos[NombreEquipo],0)),$BC$6:$BC$53,INDEX(T_Equipos[Grupo],MATCH(BD19,T_Equipos[NombreEquipo],0)))+1)</f>
        <v>2</v>
      </c>
      <c r="DD19" s="16">
        <f ca="1">DA19+COUNTIFS($DB$6:$DB$53,DB19,$DC$6:DC$53,"&lt;"&amp;DC19,$BC$6:$BC$53,INDEX(T_Equipos[Grupo],MATCH(BD19,T_Equipos[NombreEquipo],0)))</f>
        <v>2</v>
      </c>
      <c r="DE19" s="16"/>
      <c r="DF19" s="16">
        <f t="shared" ca="1" si="52"/>
        <v>2</v>
      </c>
      <c r="DG19" s="16">
        <f ca="1">IF(DB19="-","-",COUNTIFS(DF$6:DF$53,"&lt;"&amp;DF19,$BC$6:$BC$53,INDEX(T_Equipos[Grupo],MATCH(BD19,T_Equipos[NombreEquipo],0))))</f>
        <v>1</v>
      </c>
      <c r="DH19" s="16">
        <f ca="1">DA19+COUNTIFS(DB$6:DB$53,DB19,DG$6:DG$53,"&lt;"&amp;DG19,$BC$6:$BC$53,INDEX(T_Equipos[Grupo],MATCH(BD19,T_Equipos[NombreEquipo],0)))</f>
        <v>2</v>
      </c>
      <c r="DI19" s="16"/>
      <c r="DJ19" s="16">
        <f t="shared" ca="1" si="38"/>
        <v>1</v>
      </c>
      <c r="DK19" s="16">
        <f t="shared" ca="1" si="39"/>
        <v>0</v>
      </c>
      <c r="DL19" s="16">
        <f t="shared" ca="1" si="40"/>
        <v>1</v>
      </c>
      <c r="DM19" s="16" t="str">
        <f t="shared" ca="1" si="46"/>
        <v>1.1</v>
      </c>
      <c r="DN19" s="16" cm="1">
        <f t="array" aca="1" ref="DN19" ca="1">OFFSET(Horarios!$P$3,DJ19-1,0,DL19,1)</f>
        <v>1</v>
      </c>
      <c r="DO19" s="16"/>
      <c r="DP19" s="16" t="s">
        <v>670</v>
      </c>
      <c r="DQ19" s="16" t="str">
        <f t="shared" ca="1" si="47"/>
        <v>Paraguay</v>
      </c>
    </row>
    <row r="20" spans="1:121" ht="16" customHeight="1" thickBot="1" x14ac:dyDescent="0.25">
      <c r="A20" s="16" t="s">
        <v>32</v>
      </c>
      <c r="B20" s="16" t="s">
        <v>2</v>
      </c>
      <c r="C20" s="16">
        <f>COUNTIF(Equipos!$C$2:$C$49,WORLDCUP!B20)</f>
        <v>4</v>
      </c>
      <c r="D20" s="16" t="str">
        <f t="shared" ref="D20:D25" si="71">IF(OR(AC20="",AD20=""),"Pendiente",IF(AC20&gt;AD20,"Local",IF(AC20&lt;AD20,"Visitante","Empate")))</f>
        <v>Pendiente</v>
      </c>
      <c r="E20" s="16" t="str">
        <f t="shared" ref="E20:E25" si="72">IF(D20="Pendiente","-",INDEX($BT$6:$BT$53,MATCH($AA20,$BD$6:$BD$53,0)))</f>
        <v>-</v>
      </c>
      <c r="F20" s="16" t="str">
        <f t="shared" ref="F20:F25" si="73">IF(D20="Pendiente","-",INDEX($BT$6:$BT$53,MATCH($AF20,$BD$6:$BD$53,0)))</f>
        <v>-</v>
      </c>
      <c r="G20" s="16"/>
      <c r="H20" s="16" t="str">
        <f t="shared" ref="H20:H25" si="74">IF(D20="Pendiente","-",INDEX($BZ$6:$BZ$53,MATCH($AA20,$BD$6:$BD$53,0)))</f>
        <v>-</v>
      </c>
      <c r="I20" s="16" t="str">
        <f t="shared" ref="I20:I25" si="75">IF(D20="Pendiente","-",INDEX($BZ$6:$BZ$53,MATCH($AF20,$BD$6:$BD$53,0)))</f>
        <v>-</v>
      </c>
      <c r="J20" s="16"/>
      <c r="K20" s="16" t="str">
        <f t="shared" ref="K20:K25" si="76">IF(D20="Pendiente","-",INDEX($CE$6:$CE$53,MATCH($AA20,$BD$6:$BD$53,0)))</f>
        <v>-</v>
      </c>
      <c r="L20" s="16" t="str">
        <f t="shared" ref="L20:L25" si="77">IF(D20="Pendiente","-",INDEX($CE$6:$CE$53,MATCH($AF20,$BD$6:$BD$53,0)))</f>
        <v>-</v>
      </c>
      <c r="M20" s="16"/>
      <c r="N20" s="16" t="str">
        <f t="shared" ref="N20:N25" si="78">IF(D20="Pendiente","-",INDEX($CH$6:$CH$53,MATCH($AA20,$BD$6:$BD$53,0)))</f>
        <v>-</v>
      </c>
      <c r="O20" s="16" t="str">
        <f t="shared" ref="O20:O25" si="79">IF(D20="Pendiente","-",INDEX($CH$6:$CH$53,MATCH($AF20,$BD$6:$BD$53,0)))</f>
        <v>-</v>
      </c>
      <c r="P20" s="16"/>
      <c r="Q20" s="16" t="str">
        <f t="shared" ref="Q20:Q25" si="80">IF(D20="Pendiente","-",INDEX($CN$6:$CN$53,MATCH($AA20,$BD$6:$BD$53,0)))</f>
        <v>-</v>
      </c>
      <c r="R20" s="16" t="str">
        <f t="shared" ref="R20:R25" si="81">IF(D20="Pendiente","-",INDEX($CN$6:$CN$53,MATCH($AF20,$BD$6:$BD$53,0)))</f>
        <v>-</v>
      </c>
      <c r="S20" s="16"/>
      <c r="T20" s="16" t="str">
        <f t="shared" ref="T20:T25" si="82">IF(D20="Pendiente","-",INDEX($CS$6:$CS$53,MATCH($AA20,$BD$6:$BD$53,0)))</f>
        <v>-</v>
      </c>
      <c r="U20" s="16" t="str">
        <f t="shared" ref="U20:U25" si="83">IF(D20="Pendiente","-",INDEX($CS$6:$CS$53,MATCH($AF20,$BD$6:$BD$53,0)))</f>
        <v>-</v>
      </c>
      <c r="V20" s="17"/>
      <c r="W20" s="649" t="s">
        <v>2</v>
      </c>
      <c r="X20" s="24">
        <f ca="1">Horarios!C20</f>
        <v>46186.75</v>
      </c>
      <c r="Y20" s="25">
        <f ca="1">Horarios!C20</f>
        <v>46186.75</v>
      </c>
      <c r="Z20" s="26" t="str">
        <f>$Z$4</f>
        <v>R1</v>
      </c>
      <c r="AA20" s="27" t="str">
        <f ca="1">A21</f>
        <v>Brazil</v>
      </c>
      <c r="AB20" s="49" t="str" cm="1">
        <f t="array" aca="1" ref="AB20" ca="1">Ver_flag_local</f>
        <v>🇧🇷</v>
      </c>
      <c r="AC20" s="50"/>
      <c r="AD20" s="51"/>
      <c r="AE20" s="595" t="str" cm="1">
        <f t="array" aca="1" ref="AE20" ca="1">Ver_flag_visit</f>
        <v>🇲🇦</v>
      </c>
      <c r="AF20" s="32" t="str">
        <f ca="1">A22</f>
        <v>Morocco</v>
      </c>
      <c r="AG20" s="323">
        <f t="shared" ref="AG20:AG25" si="84">IF(NOT(OR(ISBLANK(AC20),ISBLANK(AD20))),1,0)</f>
        <v>0</v>
      </c>
      <c r="AH20" s="195">
        <v>7</v>
      </c>
      <c r="AI20" s="181"/>
      <c r="AJ20" s="59" t="str">
        <f>CONCATENATE(AJ3," ",B20)</f>
        <v>Group C</v>
      </c>
      <c r="AK20" s="60"/>
      <c r="AL20" s="60"/>
      <c r="AM20" s="60"/>
      <c r="AN20" s="60"/>
      <c r="AO20" s="60"/>
      <c r="AP20" s="60"/>
      <c r="AQ20" s="60"/>
      <c r="AR20" s="60"/>
      <c r="AS20" s="60"/>
      <c r="AT20" s="61"/>
      <c r="AU20" s="331"/>
      <c r="AV20" s="286" t="str">
        <f ca="1">IF(AU21&gt;0,$AV$3,"")</f>
        <v/>
      </c>
      <c r="AW20" s="167"/>
      <c r="AX20" s="167"/>
      <c r="AY20" s="154"/>
      <c r="AZ20" s="155"/>
      <c r="BA20" s="176"/>
      <c r="BC20" s="16" t="str">
        <f ca="1">+INDEX(T_Equipos[Grupo],MATCH(WORLDCUP!BD20,T_Equipos[NombreEquipo],0))</f>
        <v>D</v>
      </c>
      <c r="BD20" s="16" t="str">
        <f ca="1">+Equipos!B16</f>
        <v>Australia</v>
      </c>
      <c r="BE20" s="16">
        <f t="shared" ca="1" si="16"/>
        <v>0</v>
      </c>
      <c r="BF20" s="16">
        <f t="shared" ca="1" si="41"/>
        <v>0</v>
      </c>
      <c r="BG20" s="16">
        <f t="shared" ca="1" si="17"/>
        <v>0</v>
      </c>
      <c r="BH20" s="16">
        <f t="shared" ca="1" si="18"/>
        <v>0</v>
      </c>
      <c r="BI20" s="16">
        <f t="shared" ca="1" si="19"/>
        <v>0</v>
      </c>
      <c r="BJ20" s="16">
        <f t="shared" ca="1" si="20"/>
        <v>0</v>
      </c>
      <c r="BK20" s="16">
        <f t="shared" ca="1" si="21"/>
        <v>0</v>
      </c>
      <c r="BL20" s="16">
        <f t="shared" ca="1" si="42"/>
        <v>0</v>
      </c>
      <c r="BM20" s="16" t="str">
        <f t="shared" ca="1" si="22"/>
        <v>3D</v>
      </c>
      <c r="BN20" s="16" t="str">
        <f t="shared" ca="1" si="23"/>
        <v>3D</v>
      </c>
      <c r="BO20" s="16">
        <f t="shared" ca="1" si="43"/>
        <v>0</v>
      </c>
      <c r="BP20" s="16">
        <f ca="1">COUNTIFS($BO$6:$BO$53,"&gt;"&amp;BO20,$BC$6:$BC$53,INDEX(T_Equipos[Grupo],MATCH(BD20,T_Equipos[NombreEquipo],0)))+1</f>
        <v>1</v>
      </c>
      <c r="BQ20" s="16" t="str">
        <f ca="1">IF(COUNTIFS($BP$6:$BP$53,BP20,$BC$6:$BC$53,INDEX(T_Equipos[Grupo],MATCH(BD20,T_Equipos[NombreEquipo],0)))=1,"-","P."&amp;BP20&amp;" ("&amp;COUNTIFS($BP$6:$BP$53,BP20,$BC$6:$BC$53,INDEX(T_Equipos[Grupo],MATCH(BD20,T_Equipos[NombreEquipo],0)))&amp;")")</f>
        <v>P.1 (4)</v>
      </c>
      <c r="BR20" s="16">
        <f t="shared" ca="1" si="44"/>
        <v>0</v>
      </c>
      <c r="BS20" s="16">
        <f ca="1">BP20+COUNTIFS($BQ$6:$BQ$53,BQ20,$BR$6:BR$53,"&gt;"&amp;BR20,$BC$6:$BC$53,INDEX(T_Equipos[Grupo],MATCH(BD20,T_Equipos[NombreEquipo],0)))</f>
        <v>1</v>
      </c>
      <c r="BT20" s="16" t="str">
        <f ca="1">IF(COUNTIFS($BS$6:$BS$53,BS20,$BC$6:$BC$53,INDEX(T_Equipos[Grupo],MATCH(BD20,T_Equipos[NombreEquipo],0)))=1,"-","P."&amp;BS20&amp;" ("&amp;COUNTIFS($BS$6:$BS$53,BS20,$BC$6:$BC$53,INDEX(T_Equipos[Grupo],MATCH(BD20,T_Equipos[NombreEquipo],0)))&amp;")")</f>
        <v>P.1 (4)</v>
      </c>
      <c r="BU20" s="16">
        <f t="shared" ca="1" si="24"/>
        <v>0</v>
      </c>
      <c r="BV20" s="16">
        <f t="shared" ca="1" si="25"/>
        <v>0</v>
      </c>
      <c r="BW20" s="16">
        <f t="shared" ca="1" si="26"/>
        <v>0</v>
      </c>
      <c r="BX20" s="16">
        <f t="shared" ca="1" si="48"/>
        <v>0</v>
      </c>
      <c r="BY20" s="16">
        <f ca="1">BS20+COUNTIFS($BT$6:$BT$53,BT20,$BX$6:BX$53,"&gt;"&amp;BX20,$BC$6:$BC$53,INDEX(T_Equipos[Grupo],MATCH(BD20,T_Equipos[NombreEquipo],0)))</f>
        <v>1</v>
      </c>
      <c r="BZ20" s="16" t="str">
        <f ca="1">IF(COUNTIFS($BY$6:$BY$53,BY20,$BC$6:$BC$53,INDEX(T_Equipos[Grupo],MATCH(BD20,T_Equipos[NombreEquipo],0)))=1,"-","P."&amp;BY20&amp;" ("&amp;COUNTIFS($BY$6:$BY$53,BY20,$BC$6:$BC$53,INDEX(T_Equipos[Grupo],MATCH(BD20,T_Equipos[NombreEquipo],0)))&amp;")")</f>
        <v>P.1 (4)</v>
      </c>
      <c r="CA20" s="16">
        <f t="shared" ca="1" si="27"/>
        <v>0</v>
      </c>
      <c r="CB20" s="16">
        <f t="shared" ca="1" si="28"/>
        <v>0</v>
      </c>
      <c r="CC20" s="16">
        <f t="shared" ca="1" si="49"/>
        <v>0</v>
      </c>
      <c r="CD20" s="16">
        <f ca="1">BY20+COUNTIFS($BZ$6:$BZ$53,BZ20,$CC$6:CC$53,"&gt;"&amp;CC20,$BC$6:$BC$53,INDEX(T_Equipos[Grupo],MATCH(BD20,T_Equipos[NombreEquipo],0)))</f>
        <v>1</v>
      </c>
      <c r="CE20" s="16" t="str">
        <f ca="1">IF(COUNTIFS($CD$6:$CD$53,CD20,$BC$6:$BC$53,INDEX(T_Equipos[Grupo],MATCH(BD20,T_Equipos[NombreEquipo],0)))=1,"-","P."&amp;CD20&amp;" ("&amp;COUNTIFS($CD$6:$CD$53,CD20,$BC$6:$BC$53,INDEX(T_Equipos[Grupo],MATCH(BD20,T_Equipos[NombreEquipo],0)))&amp;")")</f>
        <v>P.1 (4)</v>
      </c>
      <c r="CF20" s="16">
        <f t="shared" ca="1" si="29"/>
        <v>0</v>
      </c>
      <c r="CG20" s="16">
        <f ca="1">CD20+COUNTIFS($CE$6:$CE$53,CE20,$CF$6:CF$53,"&gt;"&amp;CF20,$BC$6:$BC$53,INDEX(T_Equipos[Grupo],MATCH(BD20,T_Equipos[NombreEquipo],0)))</f>
        <v>1</v>
      </c>
      <c r="CH20" s="16" t="str">
        <f ca="1">IF(COUNTIFS($CG$6:$CG$53,CG20,$BC$6:$BC$53,INDEX(T_Equipos[Grupo],MATCH(BD20,T_Equipos[NombreEquipo],0)))=1,"-","P."&amp;CG20&amp;" ("&amp;COUNTIFS($CG$6:$CG$53,CG20,$BC$6:$BC$53,INDEX(T_Equipos[Grupo],MATCH(BD20,T_Equipos[NombreEquipo],0)))&amp;")")</f>
        <v>P.1 (4)</v>
      </c>
      <c r="CI20" s="16">
        <f t="shared" ca="1" si="30"/>
        <v>0</v>
      </c>
      <c r="CJ20" s="16">
        <f t="shared" ca="1" si="31"/>
        <v>0</v>
      </c>
      <c r="CK20" s="16">
        <f t="shared" ca="1" si="32"/>
        <v>0</v>
      </c>
      <c r="CL20" s="16">
        <f t="shared" ca="1" si="50"/>
        <v>0</v>
      </c>
      <c r="CM20" s="16">
        <f ca="1">CG20+COUNTIFS($CH$6:$CH$53,CH20,$CL$6:CL$53,"&gt;"&amp;CL20,$BC$6:$BC$53,INDEX(T_Equipos[Grupo],MATCH(BD20,T_Equipos[NombreEquipo],0)))</f>
        <v>1</v>
      </c>
      <c r="CN20" s="16" t="str">
        <f ca="1">IF(COUNTIFS($CM$6:$CM$53,CM20,$BC$6:$BC$53,INDEX(T_Equipos[Grupo],MATCH(BD20,T_Equipos[NombreEquipo],0)))=1,"-","P."&amp;CM20&amp;" ("&amp;COUNTIFS($CM$6:$CM$53,CM20,$BC$6:$BC$53,INDEX(T_Equipos[Grupo],MATCH(BD20,T_Equipos[NombreEquipo],0)))&amp;")")</f>
        <v>P.1 (4)</v>
      </c>
      <c r="CO20" s="16">
        <f t="shared" ca="1" si="33"/>
        <v>0</v>
      </c>
      <c r="CP20" s="16">
        <f t="shared" ca="1" si="34"/>
        <v>0</v>
      </c>
      <c r="CQ20" s="16">
        <f t="shared" ca="1" si="51"/>
        <v>0</v>
      </c>
      <c r="CR20" s="16">
        <f ca="1">CM20+COUNTIFS($CN$6:$CN$53,CN20,$CQ$6:CQ$53,"&gt;"&amp;CQ20,$BC$6:$BC$53,INDEX(T_Equipos[Grupo],MATCH(BD20,T_Equipos[NombreEquipo],0)))</f>
        <v>1</v>
      </c>
      <c r="CS20" s="16" t="str">
        <f ca="1">IF(COUNTIFS($CR$6:$CR$53,CR20,$BC$6:$BC$53,INDEX(T_Equipos[Grupo],MATCH(BD20,T_Equipos[NombreEquipo],0)))=1,"-","P."&amp;CR20&amp;" ("&amp;COUNTIFS($CR$6:$CR$53,CR20,$BC$6:$BC$53,INDEX(T_Equipos[Grupo],MATCH(BD20,T_Equipos[NombreEquipo],0)))&amp;")")</f>
        <v>P.1 (4)</v>
      </c>
      <c r="CT20" s="16">
        <f t="shared" ca="1" si="35"/>
        <v>0</v>
      </c>
      <c r="CU20" s="16">
        <f ca="1">CR20+COUNTIFS($CS$6:$CS$53,CS20,$CT$6:CT$53,"&gt;"&amp;CT20,$BC$6:$BC$53,INDEX(T_Equipos[Grupo],MATCH(BD20,T_Equipos[NombreEquipo],0)))</f>
        <v>1</v>
      </c>
      <c r="CV20" s="16" t="str">
        <f ca="1">IF(COUNTIFS($CU$6:$CU$53,CU20,$BC$6:$BC$53,INDEX(T_Equipos[Grupo],MATCH(BD20,T_Equipos[NombreEquipo],0)))=1,"-","P."&amp;CU20&amp;" ("&amp;COUNTIFS($CU$6:$CU$53,CU20,$BC$6:$BC$53,INDEX(T_Equipos[Grupo],MATCH(BD20,T_Equipos[NombreEquipo],0)))&amp;")")</f>
        <v>P.1 (4)</v>
      </c>
      <c r="CW20" s="16">
        <f t="shared" ca="1" si="36"/>
        <v>0</v>
      </c>
      <c r="CX20" s="16">
        <f ca="1">CU20+COUNTIFS($CV$6:$CV$53,CV20,$CW$6:CW$53,"&gt;"&amp;CW20,$BC$6:$BC$53,INDEX(T_Equipos[Grupo],MATCH(BD20,T_Equipos[NombreEquipo],0)))</f>
        <v>1</v>
      </c>
      <c r="CY20" s="16" t="str">
        <f ca="1">IF(COUNTIFS($CX$6:$CX$53,CX20,$BC$6:$BC$53,INDEX(T_Equipos[Grupo],MATCH(BD20,T_Equipos[NombreEquipo],0)))=1,"-","P."&amp;CX20&amp;" ("&amp;COUNTIFS($CX$6:$CX$53,CX20,$BC$6:$BC$53,INDEX(T_Equipos[Grupo],MATCH(BD20,T_Equipos[NombreEquipo],0)))&amp;")")</f>
        <v>P.1 (4)</v>
      </c>
      <c r="CZ20" s="16">
        <f t="shared" ca="1" si="37"/>
        <v>0</v>
      </c>
      <c r="DA20" s="16">
        <f ca="1">CX20+COUNTIFS($CY$6:$CY$53,CY20,$CZ$6:CZ$53,"&gt;"&amp;CZ20,$BC$6:$BC$53,INDEX(T_Equipos[Grupo],MATCH(BD20,T_Equipos[NombreEquipo],0)))</f>
        <v>1</v>
      </c>
      <c r="DB20" s="16" t="str">
        <f ca="1">IF(COUNTIFS($DA$6:$DA$53,DA20,$BC$6:$BC$53,INDEX(T_Equipos[Grupo],MATCH(BD20,T_Equipos[NombreEquipo],0)))=1,"-","P."&amp;DA20&amp;" ("&amp;COUNTIFS($DA$6:$DA$53,DA20,$BC$6:$BC$53,INDEX(T_Equipos[Grupo],MATCH(BD20,T_Equipos[NombreEquipo],0)))&amp;")")</f>
        <v>P.1 (4)</v>
      </c>
      <c r="DC20" s="16">
        <f ca="1">IF(DB20="-","-",COUNTIFS(T_Equipos[Rank],"&lt;"&amp;INDEX(T_Equipos[Rank],MATCH(BD20,T_Equipos[NombreEquipo],0)),$BC$6:$BC$53,INDEX(T_Equipos[Grupo],MATCH(BD20,T_Equipos[NombreEquipo],0)))+1)</f>
        <v>3</v>
      </c>
      <c r="DD20" s="16">
        <f ca="1">DA20+COUNTIFS($DB$6:$DB$53,DB20,$DC$6:DC$53,"&lt;"&amp;DC20,$BC$6:$BC$53,INDEX(T_Equipos[Grupo],MATCH(BD20,T_Equipos[NombreEquipo],0)))</f>
        <v>3</v>
      </c>
      <c r="DE20" s="16"/>
      <c r="DF20" s="16">
        <f t="shared" ca="1" si="52"/>
        <v>3</v>
      </c>
      <c r="DG20" s="16">
        <f ca="1">IF(DB20="-","-",COUNTIFS(DF$6:DF$53,"&lt;"&amp;DF20,$BC$6:$BC$53,INDEX(T_Equipos[Grupo],MATCH(BD20,T_Equipos[NombreEquipo],0))))</f>
        <v>2</v>
      </c>
      <c r="DH20" s="16">
        <f ca="1">DA20+COUNTIFS(DB$6:DB$53,DB20,DG$6:DG$53,"&lt;"&amp;DG20,$BC$6:$BC$53,INDEX(T_Equipos[Grupo],MATCH(BD20,T_Equipos[NombreEquipo],0)))</f>
        <v>3</v>
      </c>
      <c r="DI20" s="16"/>
      <c r="DJ20" s="16">
        <f t="shared" ca="1" si="38"/>
        <v>1</v>
      </c>
      <c r="DK20" s="16">
        <f t="shared" ca="1" si="39"/>
        <v>0</v>
      </c>
      <c r="DL20" s="16">
        <f t="shared" ca="1" si="40"/>
        <v>1</v>
      </c>
      <c r="DM20" s="16" t="str">
        <f t="shared" ca="1" si="46"/>
        <v>1.1</v>
      </c>
      <c r="DN20" s="16" cm="1">
        <f t="array" aca="1" ref="DN20" ca="1">OFFSET(Horarios!$P$3,DJ20-1,0,DL20,1)</f>
        <v>1</v>
      </c>
      <c r="DO20" s="16"/>
      <c r="DP20" s="16" t="s">
        <v>93</v>
      </c>
      <c r="DQ20" s="16" t="str">
        <f t="shared" ca="1" si="47"/>
        <v>Australia</v>
      </c>
    </row>
    <row r="21" spans="1:121" ht="16" customHeight="1" x14ac:dyDescent="0.2">
      <c r="A21" s="16" t="str">
        <f ca="1">+Equipos!B10</f>
        <v>Brazil</v>
      </c>
      <c r="B21" s="16"/>
      <c r="C21" s="16"/>
      <c r="D21" s="16" t="str">
        <f t="shared" si="71"/>
        <v>Pendiente</v>
      </c>
      <c r="E21" s="16" t="str">
        <f t="shared" si="72"/>
        <v>-</v>
      </c>
      <c r="F21" s="16" t="str">
        <f t="shared" si="73"/>
        <v>-</v>
      </c>
      <c r="G21" s="16"/>
      <c r="H21" s="16" t="str">
        <f t="shared" si="74"/>
        <v>-</v>
      </c>
      <c r="I21" s="16" t="str">
        <f t="shared" si="75"/>
        <v>-</v>
      </c>
      <c r="J21" s="16"/>
      <c r="K21" s="16" t="str">
        <f t="shared" si="76"/>
        <v>-</v>
      </c>
      <c r="L21" s="16" t="str">
        <f t="shared" si="77"/>
        <v>-</v>
      </c>
      <c r="M21" s="16"/>
      <c r="N21" s="16" t="str">
        <f t="shared" si="78"/>
        <v>-</v>
      </c>
      <c r="O21" s="16" t="str">
        <f t="shared" si="79"/>
        <v>-</v>
      </c>
      <c r="P21" s="16"/>
      <c r="Q21" s="16" t="str">
        <f t="shared" si="80"/>
        <v>-</v>
      </c>
      <c r="R21" s="16" t="str">
        <f t="shared" si="81"/>
        <v>-</v>
      </c>
      <c r="S21" s="16"/>
      <c r="T21" s="16" t="str">
        <f t="shared" si="82"/>
        <v>-</v>
      </c>
      <c r="U21" s="16" t="str">
        <f t="shared" si="83"/>
        <v>-</v>
      </c>
      <c r="V21" s="17"/>
      <c r="W21" s="649"/>
      <c r="X21" s="24">
        <f ca="1">Horarios!C21</f>
        <v>46186.875</v>
      </c>
      <c r="Y21" s="25">
        <f ca="1">Horarios!C21</f>
        <v>46186.875</v>
      </c>
      <c r="Z21" s="26" t="str">
        <f>$Z$4</f>
        <v>R1</v>
      </c>
      <c r="AA21" s="27" t="str">
        <f ca="1">A23</f>
        <v>Haiti</v>
      </c>
      <c r="AB21" s="49" t="str" cm="1">
        <f t="array" aca="1" ref="AB21" ca="1">Ver_flag_local</f>
        <v>🇭🇹</v>
      </c>
      <c r="AC21" s="50"/>
      <c r="AD21" s="51"/>
      <c r="AE21" s="595" t="str" cm="1">
        <f t="array" aca="1" ref="AE21" ca="1">Ver_flag_visit</f>
        <v>🏴󠁧󠁢󠁳󠁣󠁴󠁿</v>
      </c>
      <c r="AF21" s="32" t="str">
        <f ca="1">A24</f>
        <v>Scotland</v>
      </c>
      <c r="AG21" s="323">
        <f t="shared" si="84"/>
        <v>0</v>
      </c>
      <c r="AH21" s="195">
        <v>5</v>
      </c>
      <c r="AI21" s="181"/>
      <c r="AJ21" s="62" t="str">
        <f>AJ5</f>
        <v>Pos</v>
      </c>
      <c r="AK21" s="63"/>
      <c r="AL21" s="64" t="str">
        <f t="shared" ref="AL21:AT21" si="85">AL5</f>
        <v>Nation</v>
      </c>
      <c r="AM21" s="63" t="str">
        <f t="shared" si="85"/>
        <v>Pts</v>
      </c>
      <c r="AN21" s="63" t="str">
        <f t="shared" si="85"/>
        <v>P</v>
      </c>
      <c r="AO21" s="63" t="str">
        <f t="shared" si="85"/>
        <v>W</v>
      </c>
      <c r="AP21" s="63" t="str">
        <f t="shared" si="85"/>
        <v>D</v>
      </c>
      <c r="AQ21" s="63" t="str">
        <f t="shared" si="85"/>
        <v>L</v>
      </c>
      <c r="AR21" s="63" t="str">
        <f t="shared" si="85"/>
        <v>F</v>
      </c>
      <c r="AS21" s="63" t="str">
        <f t="shared" si="85"/>
        <v>A</v>
      </c>
      <c r="AT21" s="65" t="str">
        <f t="shared" si="85"/>
        <v>GD</v>
      </c>
      <c r="AU21" s="331">
        <f t="shared" ref="AU21" ca="1" si="86">COUNTIF(AU22:AU25,"&gt;1")</f>
        <v>0</v>
      </c>
      <c r="AV21" s="192"/>
      <c r="AW21" s="167"/>
      <c r="AX21" s="167"/>
      <c r="AY21" s="207" t="str">
        <f>AL21</f>
        <v>Nation</v>
      </c>
      <c r="AZ21" s="208" t="str">
        <f>+Idiomas!$D$67</f>
        <v>Deducted Points</v>
      </c>
      <c r="BA21" s="176"/>
      <c r="BC21" s="16" t="str">
        <f ca="1">+INDEX(T_Equipos[Grupo],MATCH(WORLDCUP!BD21,T_Equipos[NombreEquipo],0))</f>
        <v>D</v>
      </c>
      <c r="BD21" s="16" t="str">
        <f ca="1">+Equipos!B17</f>
        <v>Turkey</v>
      </c>
      <c r="BE21" s="16">
        <f t="shared" ca="1" si="16"/>
        <v>0</v>
      </c>
      <c r="BF21" s="16">
        <f t="shared" ca="1" si="41"/>
        <v>0</v>
      </c>
      <c r="BG21" s="16">
        <f t="shared" ca="1" si="17"/>
        <v>0</v>
      </c>
      <c r="BH21" s="16">
        <f t="shared" ca="1" si="18"/>
        <v>0</v>
      </c>
      <c r="BI21" s="16">
        <f t="shared" ca="1" si="19"/>
        <v>0</v>
      </c>
      <c r="BJ21" s="16">
        <f t="shared" ca="1" si="20"/>
        <v>0</v>
      </c>
      <c r="BK21" s="16">
        <f t="shared" ca="1" si="21"/>
        <v>0</v>
      </c>
      <c r="BL21" s="16">
        <f t="shared" ca="1" si="42"/>
        <v>0</v>
      </c>
      <c r="BM21" s="16" t="str">
        <f t="shared" ca="1" si="22"/>
        <v>4D</v>
      </c>
      <c r="BN21" s="16" t="str">
        <f t="shared" ca="1" si="23"/>
        <v>4D</v>
      </c>
      <c r="BO21" s="16">
        <f t="shared" ca="1" si="43"/>
        <v>0</v>
      </c>
      <c r="BP21" s="16">
        <f ca="1">COUNTIFS($BO$6:$BO$53,"&gt;"&amp;BO21,$BC$6:$BC$53,INDEX(T_Equipos[Grupo],MATCH(BD21,T_Equipos[NombreEquipo],0)))+1</f>
        <v>1</v>
      </c>
      <c r="BQ21" s="16" t="str">
        <f ca="1">IF(COUNTIFS($BP$6:$BP$53,BP21,$BC$6:$BC$53,INDEX(T_Equipos[Grupo],MATCH(BD21,T_Equipos[NombreEquipo],0)))=1,"-","P."&amp;BP21&amp;" ("&amp;COUNTIFS($BP$6:$BP$53,BP21,$BC$6:$BC$53,INDEX(T_Equipos[Grupo],MATCH(BD21,T_Equipos[NombreEquipo],0)))&amp;")")</f>
        <v>P.1 (4)</v>
      </c>
      <c r="BR21" s="16">
        <f t="shared" ca="1" si="44"/>
        <v>0</v>
      </c>
      <c r="BS21" s="16">
        <f ca="1">BP21+COUNTIFS($BQ$6:$BQ$53,BQ21,$BR$6:BR$53,"&gt;"&amp;BR21,$BC$6:$BC$53,INDEX(T_Equipos[Grupo],MATCH(BD21,T_Equipos[NombreEquipo],0)))</f>
        <v>1</v>
      </c>
      <c r="BT21" s="16" t="str">
        <f ca="1">IF(COUNTIFS($BS$6:$BS$53,BS21,$BC$6:$BC$53,INDEX(T_Equipos[Grupo],MATCH(BD21,T_Equipos[NombreEquipo],0)))=1,"-","P."&amp;BS21&amp;" ("&amp;COUNTIFS($BS$6:$BS$53,BS21,$BC$6:$BC$53,INDEX(T_Equipos[Grupo],MATCH(BD21,T_Equipos[NombreEquipo],0)))&amp;")")</f>
        <v>P.1 (4)</v>
      </c>
      <c r="BU21" s="16">
        <f t="shared" ca="1" si="24"/>
        <v>0</v>
      </c>
      <c r="BV21" s="16">
        <f t="shared" ca="1" si="25"/>
        <v>0</v>
      </c>
      <c r="BW21" s="16">
        <f t="shared" ca="1" si="26"/>
        <v>0</v>
      </c>
      <c r="BX21" s="16">
        <f t="shared" ca="1" si="48"/>
        <v>0</v>
      </c>
      <c r="BY21" s="16">
        <f ca="1">BS21+COUNTIFS($BT$6:$BT$53,BT21,$BX$6:BX$53,"&gt;"&amp;BX21,$BC$6:$BC$53,INDEX(T_Equipos[Grupo],MATCH(BD21,T_Equipos[NombreEquipo],0)))</f>
        <v>1</v>
      </c>
      <c r="BZ21" s="16" t="str">
        <f ca="1">IF(COUNTIFS($BY$6:$BY$53,BY21,$BC$6:$BC$53,INDEX(T_Equipos[Grupo],MATCH(BD21,T_Equipos[NombreEquipo],0)))=1,"-","P."&amp;BY21&amp;" ("&amp;COUNTIFS($BY$6:$BY$53,BY21,$BC$6:$BC$53,INDEX(T_Equipos[Grupo],MATCH(BD21,T_Equipos[NombreEquipo],0)))&amp;")")</f>
        <v>P.1 (4)</v>
      </c>
      <c r="CA21" s="16">
        <f t="shared" ca="1" si="27"/>
        <v>0</v>
      </c>
      <c r="CB21" s="16">
        <f t="shared" ca="1" si="28"/>
        <v>0</v>
      </c>
      <c r="CC21" s="16">
        <f t="shared" ca="1" si="49"/>
        <v>0</v>
      </c>
      <c r="CD21" s="16">
        <f ca="1">BY21+COUNTIFS($BZ$6:$BZ$53,BZ21,$CC$6:CC$53,"&gt;"&amp;CC21,$BC$6:$BC$53,INDEX(T_Equipos[Grupo],MATCH(BD21,T_Equipos[NombreEquipo],0)))</f>
        <v>1</v>
      </c>
      <c r="CE21" s="16" t="str">
        <f ca="1">IF(COUNTIFS($CD$6:$CD$53,CD21,$BC$6:$BC$53,INDEX(T_Equipos[Grupo],MATCH(BD21,T_Equipos[NombreEquipo],0)))=1,"-","P."&amp;CD21&amp;" ("&amp;COUNTIFS($CD$6:$CD$53,CD21,$BC$6:$BC$53,INDEX(T_Equipos[Grupo],MATCH(BD21,T_Equipos[NombreEquipo],0)))&amp;")")</f>
        <v>P.1 (4)</v>
      </c>
      <c r="CF21" s="16">
        <f t="shared" ca="1" si="29"/>
        <v>0</v>
      </c>
      <c r="CG21" s="16">
        <f ca="1">CD21+COUNTIFS($CE$6:$CE$53,CE21,$CF$6:CF$53,"&gt;"&amp;CF21,$BC$6:$BC$53,INDEX(T_Equipos[Grupo],MATCH(BD21,T_Equipos[NombreEquipo],0)))</f>
        <v>1</v>
      </c>
      <c r="CH21" s="16" t="str">
        <f ca="1">IF(COUNTIFS($CG$6:$CG$53,CG21,$BC$6:$BC$53,INDEX(T_Equipos[Grupo],MATCH(BD21,T_Equipos[NombreEquipo],0)))=1,"-","P."&amp;CG21&amp;" ("&amp;COUNTIFS($CG$6:$CG$53,CG21,$BC$6:$BC$53,INDEX(T_Equipos[Grupo],MATCH(BD21,T_Equipos[NombreEquipo],0)))&amp;")")</f>
        <v>P.1 (4)</v>
      </c>
      <c r="CI21" s="16">
        <f t="shared" ca="1" si="30"/>
        <v>0</v>
      </c>
      <c r="CJ21" s="16">
        <f t="shared" ca="1" si="31"/>
        <v>0</v>
      </c>
      <c r="CK21" s="16">
        <f t="shared" ca="1" si="32"/>
        <v>0</v>
      </c>
      <c r="CL21" s="16">
        <f t="shared" ca="1" si="50"/>
        <v>0</v>
      </c>
      <c r="CM21" s="16">
        <f ca="1">CG21+COUNTIFS($CH$6:$CH$53,CH21,$CL$6:CL$53,"&gt;"&amp;CL21,$BC$6:$BC$53,INDEX(T_Equipos[Grupo],MATCH(BD21,T_Equipos[NombreEquipo],0)))</f>
        <v>1</v>
      </c>
      <c r="CN21" s="16" t="str">
        <f ca="1">IF(COUNTIFS($CM$6:$CM$53,CM21,$BC$6:$BC$53,INDEX(T_Equipos[Grupo],MATCH(BD21,T_Equipos[NombreEquipo],0)))=1,"-","P."&amp;CM21&amp;" ("&amp;COUNTIFS($CM$6:$CM$53,CM21,$BC$6:$BC$53,INDEX(T_Equipos[Grupo],MATCH(BD21,T_Equipos[NombreEquipo],0)))&amp;")")</f>
        <v>P.1 (4)</v>
      </c>
      <c r="CO21" s="16">
        <f t="shared" ca="1" si="33"/>
        <v>0</v>
      </c>
      <c r="CP21" s="16">
        <f t="shared" ca="1" si="34"/>
        <v>0</v>
      </c>
      <c r="CQ21" s="16">
        <f t="shared" ca="1" si="51"/>
        <v>0</v>
      </c>
      <c r="CR21" s="16">
        <f ca="1">CM21+COUNTIFS($CN$6:$CN$53,CN21,$CQ$6:CQ$53,"&gt;"&amp;CQ21,$BC$6:$BC$53,INDEX(T_Equipos[Grupo],MATCH(BD21,T_Equipos[NombreEquipo],0)))</f>
        <v>1</v>
      </c>
      <c r="CS21" s="16" t="str">
        <f ca="1">IF(COUNTIFS($CR$6:$CR$53,CR21,$BC$6:$BC$53,INDEX(T_Equipos[Grupo],MATCH(BD21,T_Equipos[NombreEquipo],0)))=1,"-","P."&amp;CR21&amp;" ("&amp;COUNTIFS($CR$6:$CR$53,CR21,$BC$6:$BC$53,INDEX(T_Equipos[Grupo],MATCH(BD21,T_Equipos[NombreEquipo],0)))&amp;")")</f>
        <v>P.1 (4)</v>
      </c>
      <c r="CT21" s="16">
        <f t="shared" ca="1" si="35"/>
        <v>0</v>
      </c>
      <c r="CU21" s="16">
        <f ca="1">CR21+COUNTIFS($CS$6:$CS$53,CS21,$CT$6:CT$53,"&gt;"&amp;CT21,$BC$6:$BC$53,INDEX(T_Equipos[Grupo],MATCH(BD21,T_Equipos[NombreEquipo],0)))</f>
        <v>1</v>
      </c>
      <c r="CV21" s="16" t="str">
        <f ca="1">IF(COUNTIFS($CU$6:$CU$53,CU21,$BC$6:$BC$53,INDEX(T_Equipos[Grupo],MATCH(BD21,T_Equipos[NombreEquipo],0)))=1,"-","P."&amp;CU21&amp;" ("&amp;COUNTIFS($CU$6:$CU$53,CU21,$BC$6:$BC$53,INDEX(T_Equipos[Grupo],MATCH(BD21,T_Equipos[NombreEquipo],0)))&amp;")")</f>
        <v>P.1 (4)</v>
      </c>
      <c r="CW21" s="16">
        <f t="shared" ca="1" si="36"/>
        <v>0</v>
      </c>
      <c r="CX21" s="16">
        <f ca="1">CU21+COUNTIFS($CV$6:$CV$53,CV21,$CW$6:CW$53,"&gt;"&amp;CW21,$BC$6:$BC$53,INDEX(T_Equipos[Grupo],MATCH(BD21,T_Equipos[NombreEquipo],0)))</f>
        <v>1</v>
      </c>
      <c r="CY21" s="16" t="str">
        <f ca="1">IF(COUNTIFS($CX$6:$CX$53,CX21,$BC$6:$BC$53,INDEX(T_Equipos[Grupo],MATCH(BD21,T_Equipos[NombreEquipo],0)))=1,"-","P."&amp;CX21&amp;" ("&amp;COUNTIFS($CX$6:$CX$53,CX21,$BC$6:$BC$53,INDEX(T_Equipos[Grupo],MATCH(BD21,T_Equipos[NombreEquipo],0)))&amp;")")</f>
        <v>P.1 (4)</v>
      </c>
      <c r="CZ21" s="16">
        <f t="shared" ca="1" si="37"/>
        <v>0</v>
      </c>
      <c r="DA21" s="16">
        <f ca="1">CX21+COUNTIFS($CY$6:$CY$53,CY21,$CZ$6:CZ$53,"&gt;"&amp;CZ21,$BC$6:$BC$53,INDEX(T_Equipos[Grupo],MATCH(BD21,T_Equipos[NombreEquipo],0)))</f>
        <v>1</v>
      </c>
      <c r="DB21" s="16" t="str">
        <f ca="1">IF(COUNTIFS($DA$6:$DA$53,DA21,$BC$6:$BC$53,INDEX(T_Equipos[Grupo],MATCH(BD21,T_Equipos[NombreEquipo],0)))=1,"-","P."&amp;DA21&amp;" ("&amp;COUNTIFS($DA$6:$DA$53,DA21,$BC$6:$BC$53,INDEX(T_Equipos[Grupo],MATCH(BD21,T_Equipos[NombreEquipo],0)))&amp;")")</f>
        <v>P.1 (4)</v>
      </c>
      <c r="DC21" s="16">
        <f ca="1">IF(DB21="-","-",COUNTIFS(T_Equipos[Rank],"&lt;"&amp;INDEX(T_Equipos[Rank],MATCH(BD21,T_Equipos[NombreEquipo],0)),$BC$6:$BC$53,INDEX(T_Equipos[Grupo],MATCH(BD21,T_Equipos[NombreEquipo],0)))+1)</f>
        <v>4</v>
      </c>
      <c r="DD21" s="16">
        <f ca="1">DA21+COUNTIFS($DB$6:$DB$53,DB21,$DC$6:DC$53,"&lt;"&amp;DC21,$BC$6:$BC$53,INDEX(T_Equipos[Grupo],MATCH(BD21,T_Equipos[NombreEquipo],0)))</f>
        <v>4</v>
      </c>
      <c r="DE21" s="16"/>
      <c r="DF21" s="16">
        <f t="shared" ca="1" si="52"/>
        <v>4</v>
      </c>
      <c r="DG21" s="16">
        <f ca="1">IF(DB21="-","-",COUNTIFS(DF$6:DF$53,"&lt;"&amp;DF21,$BC$6:$BC$53,INDEX(T_Equipos[Grupo],MATCH(BD21,T_Equipos[NombreEquipo],0))))</f>
        <v>3</v>
      </c>
      <c r="DH21" s="16">
        <f ca="1">DA21+COUNTIFS(DB$6:DB$53,DB21,DG$6:DG$53,"&lt;"&amp;DG21,$BC$6:$BC$53,INDEX(T_Equipos[Grupo],MATCH(BD21,T_Equipos[NombreEquipo],0)))</f>
        <v>4</v>
      </c>
      <c r="DI21" s="16"/>
      <c r="DJ21" s="16">
        <f t="shared" ca="1" si="38"/>
        <v>1</v>
      </c>
      <c r="DK21" s="16">
        <f t="shared" ca="1" si="39"/>
        <v>0</v>
      </c>
      <c r="DL21" s="16">
        <f t="shared" ca="1" si="40"/>
        <v>1</v>
      </c>
      <c r="DM21" s="16" t="str">
        <f t="shared" ca="1" si="46"/>
        <v>1.1</v>
      </c>
      <c r="DN21" s="16" cm="1">
        <f t="array" aca="1" ref="DN21" ca="1">OFFSET(Horarios!$P$3,DJ21-1,0,DL21,1)</f>
        <v>1</v>
      </c>
      <c r="DO21" s="16"/>
      <c r="DP21" s="16" t="s">
        <v>671</v>
      </c>
      <c r="DQ21" s="16" t="str">
        <f t="shared" ca="1" si="47"/>
        <v>Turkey</v>
      </c>
    </row>
    <row r="22" spans="1:121" ht="16" customHeight="1" x14ac:dyDescent="0.2">
      <c r="A22" s="16" t="str">
        <f ca="1">+Equipos!B11</f>
        <v>Morocco</v>
      </c>
      <c r="B22" s="16"/>
      <c r="C22" s="16"/>
      <c r="D22" s="16" t="str">
        <f t="shared" si="71"/>
        <v>Pendiente</v>
      </c>
      <c r="E22" s="16" t="str">
        <f t="shared" si="72"/>
        <v>-</v>
      </c>
      <c r="F22" s="16" t="str">
        <f t="shared" si="73"/>
        <v>-</v>
      </c>
      <c r="G22" s="16"/>
      <c r="H22" s="16" t="str">
        <f t="shared" si="74"/>
        <v>-</v>
      </c>
      <c r="I22" s="16" t="str">
        <f t="shared" si="75"/>
        <v>-</v>
      </c>
      <c r="J22" s="16"/>
      <c r="K22" s="16" t="str">
        <f t="shared" si="76"/>
        <v>-</v>
      </c>
      <c r="L22" s="16" t="str">
        <f t="shared" si="77"/>
        <v>-</v>
      </c>
      <c r="M22" s="16"/>
      <c r="N22" s="16" t="str">
        <f t="shared" si="78"/>
        <v>-</v>
      </c>
      <c r="O22" s="16" t="str">
        <f t="shared" si="79"/>
        <v>-</v>
      </c>
      <c r="P22" s="16"/>
      <c r="Q22" s="16" t="str">
        <f t="shared" si="80"/>
        <v>-</v>
      </c>
      <c r="R22" s="16" t="str">
        <f t="shared" si="81"/>
        <v>-</v>
      </c>
      <c r="S22" s="16"/>
      <c r="T22" s="16" t="str">
        <f t="shared" si="82"/>
        <v>-</v>
      </c>
      <c r="U22" s="16" t="str">
        <f t="shared" si="83"/>
        <v>-</v>
      </c>
      <c r="V22" s="17"/>
      <c r="W22" s="649"/>
      <c r="X22" s="24">
        <f ca="1">Horarios!C22</f>
        <v>46192.75</v>
      </c>
      <c r="Y22" s="25">
        <f ca="1">Horarios!C22</f>
        <v>46192.75</v>
      </c>
      <c r="Z22" s="26" t="str">
        <f>$Z$6</f>
        <v>R2</v>
      </c>
      <c r="AA22" s="27" t="str">
        <f ca="1">A24</f>
        <v>Scotland</v>
      </c>
      <c r="AB22" s="49" t="str" cm="1">
        <f t="array" aca="1" ref="AB22" ca="1">Ver_flag_local</f>
        <v>🏴󠁧󠁢󠁳󠁣󠁴󠁿</v>
      </c>
      <c r="AC22" s="50"/>
      <c r="AD22" s="51"/>
      <c r="AE22" s="595" t="str" cm="1">
        <f t="array" aca="1" ref="AE22" ca="1">Ver_flag_visit</f>
        <v>🇲🇦</v>
      </c>
      <c r="AF22" s="32" t="str">
        <f ca="1">A22</f>
        <v>Morocco</v>
      </c>
      <c r="AG22" s="323">
        <f t="shared" si="84"/>
        <v>0</v>
      </c>
      <c r="AH22" s="195">
        <v>30</v>
      </c>
      <c r="AI22" s="181" t="str">
        <f>AJ22&amp;$B$20</f>
        <v>1C</v>
      </c>
      <c r="AJ22" s="40">
        <v>1</v>
      </c>
      <c r="AK22" s="601" t="str" cm="1">
        <f t="array" aca="1" ref="AK22" ca="1">Ver_flag_visit</f>
        <v>🇧🇷</v>
      </c>
      <c r="AL22" s="34" t="str">
        <f ca="1">IFERROR(INDEX($BD$6:$BD$53,MATCH(AI22,$BN$6:$BN$53,0)),"")</f>
        <v>Brazil</v>
      </c>
      <c r="AM22" s="35">
        <f t="shared" ref="AM22:AT25" ca="1" si="87">INDEX($BE$6:$BN$53,MATCH($AL22,$BD$6:$BD$53,0),MATCH(AM$5,$BE$5:$BN$5,0))</f>
        <v>0</v>
      </c>
      <c r="AN22" s="36">
        <f t="shared" ca="1" si="87"/>
        <v>0</v>
      </c>
      <c r="AO22" s="36">
        <f t="shared" ca="1" si="87"/>
        <v>0</v>
      </c>
      <c r="AP22" s="36">
        <f t="shared" ca="1" si="87"/>
        <v>0</v>
      </c>
      <c r="AQ22" s="36">
        <f t="shared" ca="1" si="87"/>
        <v>0</v>
      </c>
      <c r="AR22" s="36">
        <f t="shared" ca="1" si="87"/>
        <v>0</v>
      </c>
      <c r="AS22" s="36">
        <f t="shared" ca="1" si="87"/>
        <v>0</v>
      </c>
      <c r="AT22" s="41">
        <f t="shared" ca="1" si="87"/>
        <v>0</v>
      </c>
      <c r="AU22" s="330">
        <f ca="1">INDEX($DL$6:$DL$53,MATCH(AI22,$DP$6:$DP$53,0))</f>
        <v>1</v>
      </c>
      <c r="AV22" s="182" t="str">
        <f ca="1">INDEX($BD$6:$BD$53,MATCH(AI22,$BM$6:$BM$53,0))</f>
        <v>Brazil</v>
      </c>
      <c r="AW22" s="210"/>
      <c r="AX22" s="171"/>
      <c r="AY22" s="201" t="str">
        <f ca="1">+A21</f>
        <v>Brazil</v>
      </c>
      <c r="AZ22" s="202"/>
      <c r="BA22" s="176"/>
      <c r="BC22" s="16" t="str">
        <f ca="1">+INDEX(T_Equipos[Grupo],MATCH(WORLDCUP!BD22,T_Equipos[NombreEquipo],0))</f>
        <v>E</v>
      </c>
      <c r="BD22" s="16" t="str">
        <f ca="1">+Equipos!B18</f>
        <v>Germany</v>
      </c>
      <c r="BE22" s="16">
        <f t="shared" ca="1" si="16"/>
        <v>0</v>
      </c>
      <c r="BF22" s="16">
        <f t="shared" ca="1" si="41"/>
        <v>0</v>
      </c>
      <c r="BG22" s="16">
        <f t="shared" ca="1" si="17"/>
        <v>0</v>
      </c>
      <c r="BH22" s="16">
        <f t="shared" ca="1" si="18"/>
        <v>0</v>
      </c>
      <c r="BI22" s="16">
        <f t="shared" ca="1" si="19"/>
        <v>0</v>
      </c>
      <c r="BJ22" s="16">
        <f t="shared" ca="1" si="20"/>
        <v>0</v>
      </c>
      <c r="BK22" s="16">
        <f t="shared" ca="1" si="21"/>
        <v>0</v>
      </c>
      <c r="BL22" s="16">
        <f t="shared" ca="1" si="42"/>
        <v>0</v>
      </c>
      <c r="BM22" s="16" t="str">
        <f t="shared" ca="1" si="22"/>
        <v>1E</v>
      </c>
      <c r="BN22" s="16" t="str">
        <f t="shared" ca="1" si="23"/>
        <v>1E</v>
      </c>
      <c r="BO22" s="16">
        <f t="shared" ca="1" si="43"/>
        <v>0</v>
      </c>
      <c r="BP22" s="16">
        <f ca="1">COUNTIFS($BO$6:$BO$53,"&gt;"&amp;BO22,$BC$6:$BC$53,INDEX(T_Equipos[Grupo],MATCH(BD22,T_Equipos[NombreEquipo],0)))+1</f>
        <v>1</v>
      </c>
      <c r="BQ22" s="16" t="str">
        <f ca="1">IF(COUNTIFS($BP$6:$BP$53,BP22,$BC$6:$BC$53,INDEX(T_Equipos[Grupo],MATCH(BD22,T_Equipos[NombreEquipo],0)))=1,"-","P."&amp;BP22&amp;" ("&amp;COUNTIFS($BP$6:$BP$53,BP22,$BC$6:$BC$53,INDEX(T_Equipos[Grupo],MATCH(BD22,T_Equipos[NombreEquipo],0)))&amp;")")</f>
        <v>P.1 (4)</v>
      </c>
      <c r="BR22" s="16">
        <f t="shared" ca="1" si="44"/>
        <v>0</v>
      </c>
      <c r="BS22" s="16">
        <f ca="1">BP22+COUNTIFS($BQ$6:$BQ$53,BQ22,$BR$6:BR$53,"&gt;"&amp;BR22,$BC$6:$BC$53,INDEX(T_Equipos[Grupo],MATCH(BD22,T_Equipos[NombreEquipo],0)))</f>
        <v>1</v>
      </c>
      <c r="BT22" s="16" t="str">
        <f ca="1">IF(COUNTIFS($BS$6:$BS$53,BS22,$BC$6:$BC$53,INDEX(T_Equipos[Grupo],MATCH(BD22,T_Equipos[NombreEquipo],0)))=1,"-","P."&amp;BS22&amp;" ("&amp;COUNTIFS($BS$6:$BS$53,BS22,$BC$6:$BC$53,INDEX(T_Equipos[Grupo],MATCH(BD22,T_Equipos[NombreEquipo],0)))&amp;")")</f>
        <v>P.1 (4)</v>
      </c>
      <c r="BU22" s="16">
        <f t="shared" ca="1" si="24"/>
        <v>0</v>
      </c>
      <c r="BV22" s="16">
        <f t="shared" ca="1" si="25"/>
        <v>0</v>
      </c>
      <c r="BW22" s="16">
        <f t="shared" ca="1" si="26"/>
        <v>0</v>
      </c>
      <c r="BX22" s="16">
        <f t="shared" ca="1" si="48"/>
        <v>0</v>
      </c>
      <c r="BY22" s="16">
        <f ca="1">BS22+COUNTIFS($BT$6:$BT$53,BT22,$BX$6:BX$53,"&gt;"&amp;BX22,$BC$6:$BC$53,INDEX(T_Equipos[Grupo],MATCH(BD22,T_Equipos[NombreEquipo],0)))</f>
        <v>1</v>
      </c>
      <c r="BZ22" s="16" t="str">
        <f ca="1">IF(COUNTIFS($BY$6:$BY$53,BY22,$BC$6:$BC$53,INDEX(T_Equipos[Grupo],MATCH(BD22,T_Equipos[NombreEquipo],0)))=1,"-","P."&amp;BY22&amp;" ("&amp;COUNTIFS($BY$6:$BY$53,BY22,$BC$6:$BC$53,INDEX(T_Equipos[Grupo],MATCH(BD22,T_Equipos[NombreEquipo],0)))&amp;")")</f>
        <v>P.1 (4)</v>
      </c>
      <c r="CA22" s="16">
        <f t="shared" ca="1" si="27"/>
        <v>0</v>
      </c>
      <c r="CB22" s="16">
        <f t="shared" ca="1" si="28"/>
        <v>0</v>
      </c>
      <c r="CC22" s="16">
        <f t="shared" ca="1" si="49"/>
        <v>0</v>
      </c>
      <c r="CD22" s="16">
        <f ca="1">BY22+COUNTIFS($BZ$6:$BZ$53,BZ22,$CC$6:CC$53,"&gt;"&amp;CC22,$BC$6:$BC$53,INDEX(T_Equipos[Grupo],MATCH(BD22,T_Equipos[NombreEquipo],0)))</f>
        <v>1</v>
      </c>
      <c r="CE22" s="16" t="str">
        <f ca="1">IF(COUNTIFS($CD$6:$CD$53,CD22,$BC$6:$BC$53,INDEX(T_Equipos[Grupo],MATCH(BD22,T_Equipos[NombreEquipo],0)))=1,"-","P."&amp;CD22&amp;" ("&amp;COUNTIFS($CD$6:$CD$53,CD22,$BC$6:$BC$53,INDEX(T_Equipos[Grupo],MATCH(BD22,T_Equipos[NombreEquipo],0)))&amp;")")</f>
        <v>P.1 (4)</v>
      </c>
      <c r="CF22" s="16">
        <f t="shared" ca="1" si="29"/>
        <v>0</v>
      </c>
      <c r="CG22" s="16">
        <f ca="1">CD22+COUNTIFS($CE$6:$CE$53,CE22,$CF$6:CF$53,"&gt;"&amp;CF22,$BC$6:$BC$53,INDEX(T_Equipos[Grupo],MATCH(BD22,T_Equipos[NombreEquipo],0)))</f>
        <v>1</v>
      </c>
      <c r="CH22" s="16" t="str">
        <f ca="1">IF(COUNTIFS($CG$6:$CG$53,CG22,$BC$6:$BC$53,INDEX(T_Equipos[Grupo],MATCH(BD22,T_Equipos[NombreEquipo],0)))=1,"-","P."&amp;CG22&amp;" ("&amp;COUNTIFS($CG$6:$CG$53,CG22,$BC$6:$BC$53,INDEX(T_Equipos[Grupo],MATCH(BD22,T_Equipos[NombreEquipo],0)))&amp;")")</f>
        <v>P.1 (4)</v>
      </c>
      <c r="CI22" s="16">
        <f t="shared" ca="1" si="30"/>
        <v>0</v>
      </c>
      <c r="CJ22" s="16">
        <f t="shared" ca="1" si="31"/>
        <v>0</v>
      </c>
      <c r="CK22" s="16">
        <f t="shared" ca="1" si="32"/>
        <v>0</v>
      </c>
      <c r="CL22" s="16">
        <f t="shared" ca="1" si="50"/>
        <v>0</v>
      </c>
      <c r="CM22" s="16">
        <f ca="1">CG22+COUNTIFS($CH$6:$CH$53,CH22,$CL$6:CL$53,"&gt;"&amp;CL22,$BC$6:$BC$53,INDEX(T_Equipos[Grupo],MATCH(BD22,T_Equipos[NombreEquipo],0)))</f>
        <v>1</v>
      </c>
      <c r="CN22" s="16" t="str">
        <f ca="1">IF(COUNTIFS($CM$6:$CM$53,CM22,$BC$6:$BC$53,INDEX(T_Equipos[Grupo],MATCH(BD22,T_Equipos[NombreEquipo],0)))=1,"-","P."&amp;CM22&amp;" ("&amp;COUNTIFS($CM$6:$CM$53,CM22,$BC$6:$BC$53,INDEX(T_Equipos[Grupo],MATCH(BD22,T_Equipos[NombreEquipo],0)))&amp;")")</f>
        <v>P.1 (4)</v>
      </c>
      <c r="CO22" s="16">
        <f t="shared" ca="1" si="33"/>
        <v>0</v>
      </c>
      <c r="CP22" s="16">
        <f t="shared" ca="1" si="34"/>
        <v>0</v>
      </c>
      <c r="CQ22" s="16">
        <f t="shared" ca="1" si="51"/>
        <v>0</v>
      </c>
      <c r="CR22" s="16">
        <f ca="1">CM22+COUNTIFS($CN$6:$CN$53,CN22,$CQ$6:CQ$53,"&gt;"&amp;CQ22,$BC$6:$BC$53,INDEX(T_Equipos[Grupo],MATCH(BD22,T_Equipos[NombreEquipo],0)))</f>
        <v>1</v>
      </c>
      <c r="CS22" s="16" t="str">
        <f ca="1">IF(COUNTIFS($CR$6:$CR$53,CR22,$BC$6:$BC$53,INDEX(T_Equipos[Grupo],MATCH(BD22,T_Equipos[NombreEquipo],0)))=1,"-","P."&amp;CR22&amp;" ("&amp;COUNTIFS($CR$6:$CR$53,CR22,$BC$6:$BC$53,INDEX(T_Equipos[Grupo],MATCH(BD22,T_Equipos[NombreEquipo],0)))&amp;")")</f>
        <v>P.1 (4)</v>
      </c>
      <c r="CT22" s="16">
        <f t="shared" ca="1" si="35"/>
        <v>0</v>
      </c>
      <c r="CU22" s="16">
        <f ca="1">CR22+COUNTIFS($CS$6:$CS$53,CS22,$CT$6:CT$53,"&gt;"&amp;CT22,$BC$6:$BC$53,INDEX(T_Equipos[Grupo],MATCH(BD22,T_Equipos[NombreEquipo],0)))</f>
        <v>1</v>
      </c>
      <c r="CV22" s="16" t="str">
        <f ca="1">IF(COUNTIFS($CU$6:$CU$53,CU22,$BC$6:$BC$53,INDEX(T_Equipos[Grupo],MATCH(BD22,T_Equipos[NombreEquipo],0)))=1,"-","P."&amp;CU22&amp;" ("&amp;COUNTIFS($CU$6:$CU$53,CU22,$BC$6:$BC$53,INDEX(T_Equipos[Grupo],MATCH(BD22,T_Equipos[NombreEquipo],0)))&amp;")")</f>
        <v>P.1 (4)</v>
      </c>
      <c r="CW22" s="16">
        <f t="shared" ca="1" si="36"/>
        <v>0</v>
      </c>
      <c r="CX22" s="16">
        <f ca="1">CU22+COUNTIFS($CV$6:$CV$53,CV22,$CW$6:CW$53,"&gt;"&amp;CW22,$BC$6:$BC$53,INDEX(T_Equipos[Grupo],MATCH(BD22,T_Equipos[NombreEquipo],0)))</f>
        <v>1</v>
      </c>
      <c r="CY22" s="16" t="str">
        <f ca="1">IF(COUNTIFS($CX$6:$CX$53,CX22,$BC$6:$BC$53,INDEX(T_Equipos[Grupo],MATCH(BD22,T_Equipos[NombreEquipo],0)))=1,"-","P."&amp;CX22&amp;" ("&amp;COUNTIFS($CX$6:$CX$53,CX22,$BC$6:$BC$53,INDEX(T_Equipos[Grupo],MATCH(BD22,T_Equipos[NombreEquipo],0)))&amp;")")</f>
        <v>P.1 (4)</v>
      </c>
      <c r="CZ22" s="16">
        <f t="shared" ca="1" si="37"/>
        <v>0</v>
      </c>
      <c r="DA22" s="16">
        <f ca="1">CX22+COUNTIFS($CY$6:$CY$53,CY22,$CZ$6:CZ$53,"&gt;"&amp;CZ22,$BC$6:$BC$53,INDEX(T_Equipos[Grupo],MATCH(BD22,T_Equipos[NombreEquipo],0)))</f>
        <v>1</v>
      </c>
      <c r="DB22" s="16" t="str">
        <f ca="1">IF(COUNTIFS($DA$6:$DA$53,DA22,$BC$6:$BC$53,INDEX(T_Equipos[Grupo],MATCH(BD22,T_Equipos[NombreEquipo],0)))=1,"-","P."&amp;DA22&amp;" ("&amp;COUNTIFS($DA$6:$DA$53,DA22,$BC$6:$BC$53,INDEX(T_Equipos[Grupo],MATCH(BD22,T_Equipos[NombreEquipo],0)))&amp;")")</f>
        <v>P.1 (4)</v>
      </c>
      <c r="DC22" s="16">
        <f ca="1">IF(DB22="-","-",COUNTIFS(T_Equipos[Rank],"&lt;"&amp;INDEX(T_Equipos[Rank],MATCH(BD22,T_Equipos[NombreEquipo],0)),$BC$6:$BC$53,INDEX(T_Equipos[Grupo],MATCH(BD22,T_Equipos[NombreEquipo],0)))+1)</f>
        <v>1</v>
      </c>
      <c r="DD22" s="16">
        <f ca="1">DA22+COUNTIFS($DB$6:$DB$53,DB22,$DC$6:DC$53,"&lt;"&amp;DC22,$BC$6:$BC$53,INDEX(T_Equipos[Grupo],MATCH(BD22,T_Equipos[NombreEquipo],0)))</f>
        <v>1</v>
      </c>
      <c r="DE22" s="16"/>
      <c r="DF22" s="16">
        <f t="shared" ca="1" si="52"/>
        <v>1</v>
      </c>
      <c r="DG22" s="16">
        <f ca="1">IF(DB22="-","-",COUNTIFS(DF$6:DF$53,"&lt;"&amp;DF22,$BC$6:$BC$53,INDEX(T_Equipos[Grupo],MATCH(BD22,T_Equipos[NombreEquipo],0))))</f>
        <v>0</v>
      </c>
      <c r="DH22" s="16">
        <f ca="1">DA22+COUNTIFS(DB$6:DB$53,DB22,DG$6:DG$53,"&lt;"&amp;DG22,$BC$6:$BC$53,INDEX(T_Equipos[Grupo],MATCH(BD22,T_Equipos[NombreEquipo],0)))</f>
        <v>1</v>
      </c>
      <c r="DI22" s="16"/>
      <c r="DJ22" s="16">
        <f t="shared" ca="1" si="38"/>
        <v>1</v>
      </c>
      <c r="DK22" s="16">
        <f t="shared" ca="1" si="39"/>
        <v>0</v>
      </c>
      <c r="DL22" s="16">
        <f t="shared" ca="1" si="40"/>
        <v>1</v>
      </c>
      <c r="DM22" s="16" t="str">
        <f t="shared" ca="1" si="46"/>
        <v>1.1</v>
      </c>
      <c r="DN22" s="16" cm="1">
        <f t="array" aca="1" ref="DN22" ca="1">OFFSET(Horarios!$P$3,DJ22-1,0,DL22,1)</f>
        <v>1</v>
      </c>
      <c r="DO22" s="16"/>
      <c r="DP22" s="16" t="s">
        <v>672</v>
      </c>
      <c r="DQ22" s="16" t="str">
        <f t="shared" ca="1" si="47"/>
        <v>Germany</v>
      </c>
    </row>
    <row r="23" spans="1:121" ht="16" customHeight="1" x14ac:dyDescent="0.2">
      <c r="A23" s="16" t="str">
        <f ca="1">+Equipos!B12</f>
        <v>Haiti</v>
      </c>
      <c r="B23" s="16"/>
      <c r="C23" s="16"/>
      <c r="D23" s="16" t="str">
        <f t="shared" si="71"/>
        <v>Pendiente</v>
      </c>
      <c r="E23" s="16" t="str">
        <f t="shared" si="72"/>
        <v>-</v>
      </c>
      <c r="F23" s="16" t="str">
        <f t="shared" si="73"/>
        <v>-</v>
      </c>
      <c r="G23" s="16"/>
      <c r="H23" s="16" t="str">
        <f t="shared" si="74"/>
        <v>-</v>
      </c>
      <c r="I23" s="16" t="str">
        <f t="shared" si="75"/>
        <v>-</v>
      </c>
      <c r="J23" s="16"/>
      <c r="K23" s="16" t="str">
        <f t="shared" si="76"/>
        <v>-</v>
      </c>
      <c r="L23" s="16" t="str">
        <f t="shared" si="77"/>
        <v>-</v>
      </c>
      <c r="M23" s="16"/>
      <c r="N23" s="16" t="str">
        <f t="shared" si="78"/>
        <v>-</v>
      </c>
      <c r="O23" s="16" t="str">
        <f t="shared" si="79"/>
        <v>-</v>
      </c>
      <c r="P23" s="16"/>
      <c r="Q23" s="16" t="str">
        <f t="shared" si="80"/>
        <v>-</v>
      </c>
      <c r="R23" s="16" t="str">
        <f t="shared" si="81"/>
        <v>-</v>
      </c>
      <c r="S23" s="16"/>
      <c r="T23" s="16" t="str">
        <f t="shared" si="82"/>
        <v>-</v>
      </c>
      <c r="U23" s="16" t="str">
        <f t="shared" si="83"/>
        <v>-</v>
      </c>
      <c r="V23" s="17"/>
      <c r="W23" s="649"/>
      <c r="X23" s="24">
        <f ca="1">Horarios!C23</f>
        <v>46192.854166666664</v>
      </c>
      <c r="Y23" s="25">
        <f ca="1">Horarios!C23</f>
        <v>46192.854166666664</v>
      </c>
      <c r="Z23" s="26" t="str">
        <f>$Z$6</f>
        <v>R2</v>
      </c>
      <c r="AA23" s="27" t="str">
        <f ca="1">A21</f>
        <v>Brazil</v>
      </c>
      <c r="AB23" s="49" t="str" cm="1">
        <f t="array" aca="1" ref="AB23" ca="1">Ver_flag_local</f>
        <v>🇧🇷</v>
      </c>
      <c r="AC23" s="50"/>
      <c r="AD23" s="51"/>
      <c r="AE23" s="595" t="str" cm="1">
        <f t="array" aca="1" ref="AE23" ca="1">Ver_flag_visit</f>
        <v>🇭🇹</v>
      </c>
      <c r="AF23" s="32" t="str">
        <f ca="1">A23</f>
        <v>Haiti</v>
      </c>
      <c r="AG23" s="323">
        <f t="shared" si="84"/>
        <v>0</v>
      </c>
      <c r="AH23" s="195">
        <v>29</v>
      </c>
      <c r="AI23" s="181" t="str">
        <f t="shared" ref="AI23:AI25" si="88">AJ23&amp;$B$20</f>
        <v>2C</v>
      </c>
      <c r="AJ23" s="42">
        <v>2</v>
      </c>
      <c r="AK23" s="602" t="str" cm="1">
        <f t="array" aca="1" ref="AK23" ca="1">Ver_flag_visit</f>
        <v>🇲🇦</v>
      </c>
      <c r="AL23" s="37" t="str">
        <f ca="1">IFERROR(INDEX($BD$6:$BD$53,MATCH(AI23,$BN$6:$BN$53,0)),"")</f>
        <v>Morocco</v>
      </c>
      <c r="AM23" s="38">
        <f t="shared" ca="1" si="87"/>
        <v>0</v>
      </c>
      <c r="AN23" s="39">
        <f t="shared" ca="1" si="87"/>
        <v>0</v>
      </c>
      <c r="AO23" s="39">
        <f t="shared" ca="1" si="87"/>
        <v>0</v>
      </c>
      <c r="AP23" s="39">
        <f t="shared" ca="1" si="87"/>
        <v>0</v>
      </c>
      <c r="AQ23" s="39">
        <f t="shared" ca="1" si="87"/>
        <v>0</v>
      </c>
      <c r="AR23" s="39">
        <f t="shared" ca="1" si="87"/>
        <v>0</v>
      </c>
      <c r="AS23" s="39">
        <f t="shared" ca="1" si="87"/>
        <v>0</v>
      </c>
      <c r="AT23" s="43">
        <f t="shared" ca="1" si="87"/>
        <v>0</v>
      </c>
      <c r="AU23" s="330">
        <f ca="1">INDEX($DL$6:$DL$53,MATCH(AI23,$DP$6:$DP$53,0))</f>
        <v>1</v>
      </c>
      <c r="AV23" s="182" t="str">
        <f ca="1">INDEX($BD$6:$BD$53,MATCH(AI23,$BM$6:$BM$53,0))</f>
        <v>Morocco</v>
      </c>
      <c r="AW23" s="210"/>
      <c r="AX23" s="171"/>
      <c r="AY23" s="203" t="str">
        <f ca="1">+A22</f>
        <v>Morocco</v>
      </c>
      <c r="AZ23" s="204"/>
      <c r="BA23" s="176"/>
      <c r="BC23" s="16" t="str">
        <f ca="1">+INDEX(T_Equipos[Grupo],MATCH(WORLDCUP!BD23,T_Equipos[NombreEquipo],0))</f>
        <v>E</v>
      </c>
      <c r="BD23" s="16" t="str">
        <f ca="1">+Equipos!B19</f>
        <v>Curaçao</v>
      </c>
      <c r="BE23" s="16">
        <f t="shared" ca="1" si="16"/>
        <v>0</v>
      </c>
      <c r="BF23" s="16">
        <f t="shared" ca="1" si="41"/>
        <v>0</v>
      </c>
      <c r="BG23" s="16">
        <f t="shared" ca="1" si="17"/>
        <v>0</v>
      </c>
      <c r="BH23" s="16">
        <f t="shared" ca="1" si="18"/>
        <v>0</v>
      </c>
      <c r="BI23" s="16">
        <f t="shared" ca="1" si="19"/>
        <v>0</v>
      </c>
      <c r="BJ23" s="16">
        <f t="shared" ca="1" si="20"/>
        <v>0</v>
      </c>
      <c r="BK23" s="16">
        <f t="shared" ca="1" si="21"/>
        <v>0</v>
      </c>
      <c r="BL23" s="16">
        <f t="shared" ca="1" si="42"/>
        <v>0</v>
      </c>
      <c r="BM23" s="16" t="str">
        <f t="shared" ca="1" si="22"/>
        <v>2E</v>
      </c>
      <c r="BN23" s="16" t="str">
        <f t="shared" ca="1" si="23"/>
        <v>2E</v>
      </c>
      <c r="BO23" s="16">
        <f t="shared" ca="1" si="43"/>
        <v>0</v>
      </c>
      <c r="BP23" s="16">
        <f ca="1">COUNTIFS($BO$6:$BO$53,"&gt;"&amp;BO23,$BC$6:$BC$53,INDEX(T_Equipos[Grupo],MATCH(BD23,T_Equipos[NombreEquipo],0)))+1</f>
        <v>1</v>
      </c>
      <c r="BQ23" s="16" t="str">
        <f ca="1">IF(COUNTIFS($BP$6:$BP$53,BP23,$BC$6:$BC$53,INDEX(T_Equipos[Grupo],MATCH(BD23,T_Equipos[NombreEquipo],0)))=1,"-","P."&amp;BP23&amp;" ("&amp;COUNTIFS($BP$6:$BP$53,BP23,$BC$6:$BC$53,INDEX(T_Equipos[Grupo],MATCH(BD23,T_Equipos[NombreEquipo],0)))&amp;")")</f>
        <v>P.1 (4)</v>
      </c>
      <c r="BR23" s="16">
        <f t="shared" ca="1" si="44"/>
        <v>0</v>
      </c>
      <c r="BS23" s="16">
        <f ca="1">BP23+COUNTIFS($BQ$6:$BQ$53,BQ23,$BR$6:BR$53,"&gt;"&amp;BR23,$BC$6:$BC$53,INDEX(T_Equipos[Grupo],MATCH(BD23,T_Equipos[NombreEquipo],0)))</f>
        <v>1</v>
      </c>
      <c r="BT23" s="16" t="str">
        <f ca="1">IF(COUNTIFS($BS$6:$BS$53,BS23,$BC$6:$BC$53,INDEX(T_Equipos[Grupo],MATCH(BD23,T_Equipos[NombreEquipo],0)))=1,"-","P."&amp;BS23&amp;" ("&amp;COUNTIFS($BS$6:$BS$53,BS23,$BC$6:$BC$53,INDEX(T_Equipos[Grupo],MATCH(BD23,T_Equipos[NombreEquipo],0)))&amp;")")</f>
        <v>P.1 (4)</v>
      </c>
      <c r="BU23" s="16">
        <f t="shared" ca="1" si="24"/>
        <v>0</v>
      </c>
      <c r="BV23" s="16">
        <f t="shared" ca="1" si="25"/>
        <v>0</v>
      </c>
      <c r="BW23" s="16">
        <f t="shared" ca="1" si="26"/>
        <v>0</v>
      </c>
      <c r="BX23" s="16">
        <f t="shared" ca="1" si="48"/>
        <v>0</v>
      </c>
      <c r="BY23" s="16">
        <f ca="1">BS23+COUNTIFS($BT$6:$BT$53,BT23,$BX$6:BX$53,"&gt;"&amp;BX23,$BC$6:$BC$53,INDEX(T_Equipos[Grupo],MATCH(BD23,T_Equipos[NombreEquipo],0)))</f>
        <v>1</v>
      </c>
      <c r="BZ23" s="16" t="str">
        <f ca="1">IF(COUNTIFS($BY$6:$BY$53,BY23,$BC$6:$BC$53,INDEX(T_Equipos[Grupo],MATCH(BD23,T_Equipos[NombreEquipo],0)))=1,"-","P."&amp;BY23&amp;" ("&amp;COUNTIFS($BY$6:$BY$53,BY23,$BC$6:$BC$53,INDEX(T_Equipos[Grupo],MATCH(BD23,T_Equipos[NombreEquipo],0)))&amp;")")</f>
        <v>P.1 (4)</v>
      </c>
      <c r="CA23" s="16">
        <f t="shared" ca="1" si="27"/>
        <v>0</v>
      </c>
      <c r="CB23" s="16">
        <f t="shared" ca="1" si="28"/>
        <v>0</v>
      </c>
      <c r="CC23" s="16">
        <f t="shared" ca="1" si="49"/>
        <v>0</v>
      </c>
      <c r="CD23" s="16">
        <f ca="1">BY23+COUNTIFS($BZ$6:$BZ$53,BZ23,$CC$6:CC$53,"&gt;"&amp;CC23,$BC$6:$BC$53,INDEX(T_Equipos[Grupo],MATCH(BD23,T_Equipos[NombreEquipo],0)))</f>
        <v>1</v>
      </c>
      <c r="CE23" s="16" t="str">
        <f ca="1">IF(COUNTIFS($CD$6:$CD$53,CD23,$BC$6:$BC$53,INDEX(T_Equipos[Grupo],MATCH(BD23,T_Equipos[NombreEquipo],0)))=1,"-","P."&amp;CD23&amp;" ("&amp;COUNTIFS($CD$6:$CD$53,CD23,$BC$6:$BC$53,INDEX(T_Equipos[Grupo],MATCH(BD23,T_Equipos[NombreEquipo],0)))&amp;")")</f>
        <v>P.1 (4)</v>
      </c>
      <c r="CF23" s="16">
        <f t="shared" ca="1" si="29"/>
        <v>0</v>
      </c>
      <c r="CG23" s="16">
        <f ca="1">CD23+COUNTIFS($CE$6:$CE$53,CE23,$CF$6:CF$53,"&gt;"&amp;CF23,$BC$6:$BC$53,INDEX(T_Equipos[Grupo],MATCH(BD23,T_Equipos[NombreEquipo],0)))</f>
        <v>1</v>
      </c>
      <c r="CH23" s="16" t="str">
        <f ca="1">IF(COUNTIFS($CG$6:$CG$53,CG23,$BC$6:$BC$53,INDEX(T_Equipos[Grupo],MATCH(BD23,T_Equipos[NombreEquipo],0)))=1,"-","P."&amp;CG23&amp;" ("&amp;COUNTIFS($CG$6:$CG$53,CG23,$BC$6:$BC$53,INDEX(T_Equipos[Grupo],MATCH(BD23,T_Equipos[NombreEquipo],0)))&amp;")")</f>
        <v>P.1 (4)</v>
      </c>
      <c r="CI23" s="16">
        <f t="shared" ca="1" si="30"/>
        <v>0</v>
      </c>
      <c r="CJ23" s="16">
        <f t="shared" ca="1" si="31"/>
        <v>0</v>
      </c>
      <c r="CK23" s="16">
        <f t="shared" ca="1" si="32"/>
        <v>0</v>
      </c>
      <c r="CL23" s="16">
        <f t="shared" ca="1" si="50"/>
        <v>0</v>
      </c>
      <c r="CM23" s="16">
        <f ca="1">CG23+COUNTIFS($CH$6:$CH$53,CH23,$CL$6:CL$53,"&gt;"&amp;CL23,$BC$6:$BC$53,INDEX(T_Equipos[Grupo],MATCH(BD23,T_Equipos[NombreEquipo],0)))</f>
        <v>1</v>
      </c>
      <c r="CN23" s="16" t="str">
        <f ca="1">IF(COUNTIFS($CM$6:$CM$53,CM23,$BC$6:$BC$53,INDEX(T_Equipos[Grupo],MATCH(BD23,T_Equipos[NombreEquipo],0)))=1,"-","P."&amp;CM23&amp;" ("&amp;COUNTIFS($CM$6:$CM$53,CM23,$BC$6:$BC$53,INDEX(T_Equipos[Grupo],MATCH(BD23,T_Equipos[NombreEquipo],0)))&amp;")")</f>
        <v>P.1 (4)</v>
      </c>
      <c r="CO23" s="16">
        <f t="shared" ca="1" si="33"/>
        <v>0</v>
      </c>
      <c r="CP23" s="16">
        <f t="shared" ca="1" si="34"/>
        <v>0</v>
      </c>
      <c r="CQ23" s="16">
        <f t="shared" ca="1" si="51"/>
        <v>0</v>
      </c>
      <c r="CR23" s="16">
        <f ca="1">CM23+COUNTIFS($CN$6:$CN$53,CN23,$CQ$6:CQ$53,"&gt;"&amp;CQ23,$BC$6:$BC$53,INDEX(T_Equipos[Grupo],MATCH(BD23,T_Equipos[NombreEquipo],0)))</f>
        <v>1</v>
      </c>
      <c r="CS23" s="16" t="str">
        <f ca="1">IF(COUNTIFS($CR$6:$CR$53,CR23,$BC$6:$BC$53,INDEX(T_Equipos[Grupo],MATCH(BD23,T_Equipos[NombreEquipo],0)))=1,"-","P."&amp;CR23&amp;" ("&amp;COUNTIFS($CR$6:$CR$53,CR23,$BC$6:$BC$53,INDEX(T_Equipos[Grupo],MATCH(BD23,T_Equipos[NombreEquipo],0)))&amp;")")</f>
        <v>P.1 (4)</v>
      </c>
      <c r="CT23" s="16">
        <f t="shared" ca="1" si="35"/>
        <v>0</v>
      </c>
      <c r="CU23" s="16">
        <f ca="1">CR23+COUNTIFS($CS$6:$CS$53,CS23,$CT$6:CT$53,"&gt;"&amp;CT23,$BC$6:$BC$53,INDEX(T_Equipos[Grupo],MATCH(BD23,T_Equipos[NombreEquipo],0)))</f>
        <v>1</v>
      </c>
      <c r="CV23" s="16" t="str">
        <f ca="1">IF(COUNTIFS($CU$6:$CU$53,CU23,$BC$6:$BC$53,INDEX(T_Equipos[Grupo],MATCH(BD23,T_Equipos[NombreEquipo],0)))=1,"-","P."&amp;CU23&amp;" ("&amp;COUNTIFS($CU$6:$CU$53,CU23,$BC$6:$BC$53,INDEX(T_Equipos[Grupo],MATCH(BD23,T_Equipos[NombreEquipo],0)))&amp;")")</f>
        <v>P.1 (4)</v>
      </c>
      <c r="CW23" s="16">
        <f t="shared" ca="1" si="36"/>
        <v>0</v>
      </c>
      <c r="CX23" s="16">
        <f ca="1">CU23+COUNTIFS($CV$6:$CV$53,CV23,$CW$6:CW$53,"&gt;"&amp;CW23,$BC$6:$BC$53,INDEX(T_Equipos[Grupo],MATCH(BD23,T_Equipos[NombreEquipo],0)))</f>
        <v>1</v>
      </c>
      <c r="CY23" s="16" t="str">
        <f ca="1">IF(COUNTIFS($CX$6:$CX$53,CX23,$BC$6:$BC$53,INDEX(T_Equipos[Grupo],MATCH(BD23,T_Equipos[NombreEquipo],0)))=1,"-","P."&amp;CX23&amp;" ("&amp;COUNTIFS($CX$6:$CX$53,CX23,$BC$6:$BC$53,INDEX(T_Equipos[Grupo],MATCH(BD23,T_Equipos[NombreEquipo],0)))&amp;")")</f>
        <v>P.1 (4)</v>
      </c>
      <c r="CZ23" s="16">
        <f t="shared" ca="1" si="37"/>
        <v>0</v>
      </c>
      <c r="DA23" s="16">
        <f ca="1">CX23+COUNTIFS($CY$6:$CY$53,CY23,$CZ$6:CZ$53,"&gt;"&amp;CZ23,$BC$6:$BC$53,INDEX(T_Equipos[Grupo],MATCH(BD23,T_Equipos[NombreEquipo],0)))</f>
        <v>1</v>
      </c>
      <c r="DB23" s="16" t="str">
        <f ca="1">IF(COUNTIFS($DA$6:$DA$53,DA23,$BC$6:$BC$53,INDEX(T_Equipos[Grupo],MATCH(BD23,T_Equipos[NombreEquipo],0)))=1,"-","P."&amp;DA23&amp;" ("&amp;COUNTIFS($DA$6:$DA$53,DA23,$BC$6:$BC$53,INDEX(T_Equipos[Grupo],MATCH(BD23,T_Equipos[NombreEquipo],0)))&amp;")")</f>
        <v>P.1 (4)</v>
      </c>
      <c r="DC23" s="16">
        <f ca="1">IF(DB23="-","-",COUNTIFS(T_Equipos[Rank],"&lt;"&amp;INDEX(T_Equipos[Rank],MATCH(BD23,T_Equipos[NombreEquipo],0)),$BC$6:$BC$53,INDEX(T_Equipos[Grupo],MATCH(BD23,T_Equipos[NombreEquipo],0)))+1)</f>
        <v>2</v>
      </c>
      <c r="DD23" s="16">
        <f ca="1">DA23+COUNTIFS($DB$6:$DB$53,DB23,$DC$6:DC$53,"&lt;"&amp;DC23,$BC$6:$BC$53,INDEX(T_Equipos[Grupo],MATCH(BD23,T_Equipos[NombreEquipo],0)))</f>
        <v>2</v>
      </c>
      <c r="DE23" s="16"/>
      <c r="DF23" s="16">
        <f t="shared" ca="1" si="52"/>
        <v>2</v>
      </c>
      <c r="DG23" s="16">
        <f ca="1">IF(DB23="-","-",COUNTIFS(DF$6:DF$53,"&lt;"&amp;DF23,$BC$6:$BC$53,INDEX(T_Equipos[Grupo],MATCH(BD23,T_Equipos[NombreEquipo],0))))</f>
        <v>1</v>
      </c>
      <c r="DH23" s="16">
        <f ca="1">DA23+COUNTIFS(DB$6:DB$53,DB23,DG$6:DG$53,"&lt;"&amp;DG23,$BC$6:$BC$53,INDEX(T_Equipos[Grupo],MATCH(BD23,T_Equipos[NombreEquipo],0)))</f>
        <v>2</v>
      </c>
      <c r="DI23" s="16"/>
      <c r="DJ23" s="16">
        <f t="shared" ca="1" si="38"/>
        <v>1</v>
      </c>
      <c r="DK23" s="16">
        <f t="shared" ca="1" si="39"/>
        <v>0</v>
      </c>
      <c r="DL23" s="16">
        <f t="shared" ca="1" si="40"/>
        <v>1</v>
      </c>
      <c r="DM23" s="16" t="str">
        <f t="shared" ca="1" si="46"/>
        <v>1.1</v>
      </c>
      <c r="DN23" s="16" cm="1">
        <f t="array" aca="1" ref="DN23" ca="1">OFFSET(Horarios!$P$3,DJ23-1,0,DL23,1)</f>
        <v>1</v>
      </c>
      <c r="DO23" s="16"/>
      <c r="DP23" s="16" t="s">
        <v>673</v>
      </c>
      <c r="DQ23" s="16" t="str">
        <f t="shared" ca="1" si="47"/>
        <v>Curaçao</v>
      </c>
    </row>
    <row r="24" spans="1:121" ht="16" customHeight="1" x14ac:dyDescent="0.2">
      <c r="A24" s="16" t="str">
        <f ca="1">+Equipos!B13</f>
        <v>Scotland</v>
      </c>
      <c r="B24" s="16"/>
      <c r="C24" s="16"/>
      <c r="D24" s="16" t="str">
        <f t="shared" si="71"/>
        <v>Pendiente</v>
      </c>
      <c r="E24" s="16" t="str">
        <f t="shared" si="72"/>
        <v>-</v>
      </c>
      <c r="F24" s="16" t="str">
        <f t="shared" si="73"/>
        <v>-</v>
      </c>
      <c r="G24" s="16"/>
      <c r="H24" s="16" t="str">
        <f t="shared" si="74"/>
        <v>-</v>
      </c>
      <c r="I24" s="16" t="str">
        <f t="shared" si="75"/>
        <v>-</v>
      </c>
      <c r="J24" s="16"/>
      <c r="K24" s="16" t="str">
        <f t="shared" si="76"/>
        <v>-</v>
      </c>
      <c r="L24" s="16" t="str">
        <f t="shared" si="77"/>
        <v>-</v>
      </c>
      <c r="M24" s="16"/>
      <c r="N24" s="16" t="str">
        <f t="shared" si="78"/>
        <v>-</v>
      </c>
      <c r="O24" s="16" t="str">
        <f t="shared" si="79"/>
        <v>-</v>
      </c>
      <c r="P24" s="16"/>
      <c r="Q24" s="16" t="str">
        <f t="shared" si="80"/>
        <v>-</v>
      </c>
      <c r="R24" s="16" t="str">
        <f t="shared" si="81"/>
        <v>-</v>
      </c>
      <c r="S24" s="16"/>
      <c r="T24" s="16" t="str">
        <f t="shared" si="82"/>
        <v>-</v>
      </c>
      <c r="U24" s="16" t="str">
        <f t="shared" si="83"/>
        <v>-</v>
      </c>
      <c r="V24" s="17"/>
      <c r="W24" s="649"/>
      <c r="X24" s="24">
        <f ca="1">Horarios!C24</f>
        <v>46197.75</v>
      </c>
      <c r="Y24" s="25">
        <f ca="1">Horarios!C24</f>
        <v>46197.75</v>
      </c>
      <c r="Z24" s="26" t="str">
        <f>$Z$8</f>
        <v>R3</v>
      </c>
      <c r="AA24" s="27" t="str">
        <f ca="1">A24</f>
        <v>Scotland</v>
      </c>
      <c r="AB24" s="49" t="str" cm="1">
        <f t="array" aca="1" ref="AB24" ca="1">Ver_flag_local</f>
        <v>🏴󠁧󠁢󠁳󠁣󠁴󠁿</v>
      </c>
      <c r="AC24" s="50"/>
      <c r="AD24" s="51"/>
      <c r="AE24" s="595" t="str" cm="1">
        <f t="array" aca="1" ref="AE24" ca="1">Ver_flag_visit</f>
        <v>🇧🇷</v>
      </c>
      <c r="AF24" s="32" t="str">
        <f ca="1">A21</f>
        <v>Brazil</v>
      </c>
      <c r="AG24" s="323">
        <f t="shared" si="84"/>
        <v>0</v>
      </c>
      <c r="AH24" s="195">
        <v>49</v>
      </c>
      <c r="AI24" s="181" t="str">
        <f t="shared" si="88"/>
        <v>3C</v>
      </c>
      <c r="AJ24" s="42">
        <v>3</v>
      </c>
      <c r="AK24" s="602" t="str" cm="1">
        <f t="array" aca="1" ref="AK24" ca="1">Ver_flag_visit</f>
        <v>🇭🇹</v>
      </c>
      <c r="AL24" s="37" t="str">
        <f ca="1">IFERROR(INDEX($BD$6:$BD$53,MATCH(AI24,$BN$6:$BN$53,0)),"")</f>
        <v>Haiti</v>
      </c>
      <c r="AM24" s="38">
        <f t="shared" ca="1" si="87"/>
        <v>0</v>
      </c>
      <c r="AN24" s="39">
        <f t="shared" ca="1" si="87"/>
        <v>0</v>
      </c>
      <c r="AO24" s="39">
        <f t="shared" ca="1" si="87"/>
        <v>0</v>
      </c>
      <c r="AP24" s="39">
        <f t="shared" ca="1" si="87"/>
        <v>0</v>
      </c>
      <c r="AQ24" s="39">
        <f t="shared" ca="1" si="87"/>
        <v>0</v>
      </c>
      <c r="AR24" s="39">
        <f t="shared" ca="1" si="87"/>
        <v>0</v>
      </c>
      <c r="AS24" s="39">
        <f t="shared" ca="1" si="87"/>
        <v>0</v>
      </c>
      <c r="AT24" s="43">
        <f t="shared" ca="1" si="87"/>
        <v>0</v>
      </c>
      <c r="AU24" s="330">
        <f ca="1">INDEX($DL$6:$DL$53,MATCH(AI24,$DP$6:$DP$53,0))</f>
        <v>1</v>
      </c>
      <c r="AV24" s="182" t="str">
        <f ca="1">INDEX($BD$6:$BD$53,MATCH(AI24,$BM$6:$BM$53,0))</f>
        <v>Haiti</v>
      </c>
      <c r="AW24" s="210"/>
      <c r="AX24" s="171"/>
      <c r="AY24" s="201" t="str">
        <f ca="1">+A23</f>
        <v>Haiti</v>
      </c>
      <c r="AZ24" s="202"/>
      <c r="BA24" s="176"/>
      <c r="BC24" s="16" t="str">
        <f ca="1">+INDEX(T_Equipos[Grupo],MATCH(WORLDCUP!BD24,T_Equipos[NombreEquipo],0))</f>
        <v>E</v>
      </c>
      <c r="BD24" s="16" t="str">
        <f ca="1">+Equipos!B20</f>
        <v>Ivory Coast</v>
      </c>
      <c r="BE24" s="16">
        <f t="shared" ca="1" si="16"/>
        <v>0</v>
      </c>
      <c r="BF24" s="16">
        <f t="shared" ca="1" si="41"/>
        <v>0</v>
      </c>
      <c r="BG24" s="16">
        <f t="shared" ca="1" si="17"/>
        <v>0</v>
      </c>
      <c r="BH24" s="16">
        <f t="shared" ca="1" si="18"/>
        <v>0</v>
      </c>
      <c r="BI24" s="16">
        <f t="shared" ca="1" si="19"/>
        <v>0</v>
      </c>
      <c r="BJ24" s="16">
        <f t="shared" ca="1" si="20"/>
        <v>0</v>
      </c>
      <c r="BK24" s="16">
        <f t="shared" ca="1" si="21"/>
        <v>0</v>
      </c>
      <c r="BL24" s="16">
        <f t="shared" ca="1" si="42"/>
        <v>0</v>
      </c>
      <c r="BM24" s="16" t="str">
        <f t="shared" ca="1" si="22"/>
        <v>3E</v>
      </c>
      <c r="BN24" s="16" t="str">
        <f t="shared" ca="1" si="23"/>
        <v>3E</v>
      </c>
      <c r="BO24" s="16">
        <f t="shared" ca="1" si="43"/>
        <v>0</v>
      </c>
      <c r="BP24" s="16">
        <f ca="1">COUNTIFS($BO$6:$BO$53,"&gt;"&amp;BO24,$BC$6:$BC$53,INDEX(T_Equipos[Grupo],MATCH(BD24,T_Equipos[NombreEquipo],0)))+1</f>
        <v>1</v>
      </c>
      <c r="BQ24" s="16" t="str">
        <f ca="1">IF(COUNTIFS($BP$6:$BP$53,BP24,$BC$6:$BC$53,INDEX(T_Equipos[Grupo],MATCH(BD24,T_Equipos[NombreEquipo],0)))=1,"-","P."&amp;BP24&amp;" ("&amp;COUNTIFS($BP$6:$BP$53,BP24,$BC$6:$BC$53,INDEX(T_Equipos[Grupo],MATCH(BD24,T_Equipos[NombreEquipo],0)))&amp;")")</f>
        <v>P.1 (4)</v>
      </c>
      <c r="BR24" s="16">
        <f t="shared" ca="1" si="44"/>
        <v>0</v>
      </c>
      <c r="BS24" s="16">
        <f ca="1">BP24+COUNTIFS($BQ$6:$BQ$53,BQ24,$BR$6:BR$53,"&gt;"&amp;BR24,$BC$6:$BC$53,INDEX(T_Equipos[Grupo],MATCH(BD24,T_Equipos[NombreEquipo],0)))</f>
        <v>1</v>
      </c>
      <c r="BT24" s="16" t="str">
        <f ca="1">IF(COUNTIFS($BS$6:$BS$53,BS24,$BC$6:$BC$53,INDEX(T_Equipos[Grupo],MATCH(BD24,T_Equipos[NombreEquipo],0)))=1,"-","P."&amp;BS24&amp;" ("&amp;COUNTIFS($BS$6:$BS$53,BS24,$BC$6:$BC$53,INDEX(T_Equipos[Grupo],MATCH(BD24,T_Equipos[NombreEquipo],0)))&amp;")")</f>
        <v>P.1 (4)</v>
      </c>
      <c r="BU24" s="16">
        <f t="shared" ca="1" si="24"/>
        <v>0</v>
      </c>
      <c r="BV24" s="16">
        <f t="shared" ca="1" si="25"/>
        <v>0</v>
      </c>
      <c r="BW24" s="16">
        <f t="shared" ca="1" si="26"/>
        <v>0</v>
      </c>
      <c r="BX24" s="16">
        <f t="shared" ca="1" si="48"/>
        <v>0</v>
      </c>
      <c r="BY24" s="16">
        <f ca="1">BS24+COUNTIFS($BT$6:$BT$53,BT24,$BX$6:BX$53,"&gt;"&amp;BX24,$BC$6:$BC$53,INDEX(T_Equipos[Grupo],MATCH(BD24,T_Equipos[NombreEquipo],0)))</f>
        <v>1</v>
      </c>
      <c r="BZ24" s="16" t="str">
        <f ca="1">IF(COUNTIFS($BY$6:$BY$53,BY24,$BC$6:$BC$53,INDEX(T_Equipos[Grupo],MATCH(BD24,T_Equipos[NombreEquipo],0)))=1,"-","P."&amp;BY24&amp;" ("&amp;COUNTIFS($BY$6:$BY$53,BY24,$BC$6:$BC$53,INDEX(T_Equipos[Grupo],MATCH(BD24,T_Equipos[NombreEquipo],0)))&amp;")")</f>
        <v>P.1 (4)</v>
      </c>
      <c r="CA24" s="16">
        <f t="shared" ca="1" si="27"/>
        <v>0</v>
      </c>
      <c r="CB24" s="16">
        <f t="shared" ca="1" si="28"/>
        <v>0</v>
      </c>
      <c r="CC24" s="16">
        <f t="shared" ca="1" si="49"/>
        <v>0</v>
      </c>
      <c r="CD24" s="16">
        <f ca="1">BY24+COUNTIFS($BZ$6:$BZ$53,BZ24,$CC$6:CC$53,"&gt;"&amp;CC24,$BC$6:$BC$53,INDEX(T_Equipos[Grupo],MATCH(BD24,T_Equipos[NombreEquipo],0)))</f>
        <v>1</v>
      </c>
      <c r="CE24" s="16" t="str">
        <f ca="1">IF(COUNTIFS($CD$6:$CD$53,CD24,$BC$6:$BC$53,INDEX(T_Equipos[Grupo],MATCH(BD24,T_Equipos[NombreEquipo],0)))=1,"-","P."&amp;CD24&amp;" ("&amp;COUNTIFS($CD$6:$CD$53,CD24,$BC$6:$BC$53,INDEX(T_Equipos[Grupo],MATCH(BD24,T_Equipos[NombreEquipo],0)))&amp;")")</f>
        <v>P.1 (4)</v>
      </c>
      <c r="CF24" s="16">
        <f t="shared" ca="1" si="29"/>
        <v>0</v>
      </c>
      <c r="CG24" s="16">
        <f ca="1">CD24+COUNTIFS($CE$6:$CE$53,CE24,$CF$6:CF$53,"&gt;"&amp;CF24,$BC$6:$BC$53,INDEX(T_Equipos[Grupo],MATCH(BD24,T_Equipos[NombreEquipo],0)))</f>
        <v>1</v>
      </c>
      <c r="CH24" s="16" t="str">
        <f ca="1">IF(COUNTIFS($CG$6:$CG$53,CG24,$BC$6:$BC$53,INDEX(T_Equipos[Grupo],MATCH(BD24,T_Equipos[NombreEquipo],0)))=1,"-","P."&amp;CG24&amp;" ("&amp;COUNTIFS($CG$6:$CG$53,CG24,$BC$6:$BC$53,INDEX(T_Equipos[Grupo],MATCH(BD24,T_Equipos[NombreEquipo],0)))&amp;")")</f>
        <v>P.1 (4)</v>
      </c>
      <c r="CI24" s="16">
        <f t="shared" ca="1" si="30"/>
        <v>0</v>
      </c>
      <c r="CJ24" s="16">
        <f t="shared" ca="1" si="31"/>
        <v>0</v>
      </c>
      <c r="CK24" s="16">
        <f t="shared" ca="1" si="32"/>
        <v>0</v>
      </c>
      <c r="CL24" s="16">
        <f t="shared" ca="1" si="50"/>
        <v>0</v>
      </c>
      <c r="CM24" s="16">
        <f ca="1">CG24+COUNTIFS($CH$6:$CH$53,CH24,$CL$6:CL$53,"&gt;"&amp;CL24,$BC$6:$BC$53,INDEX(T_Equipos[Grupo],MATCH(BD24,T_Equipos[NombreEquipo],0)))</f>
        <v>1</v>
      </c>
      <c r="CN24" s="16" t="str">
        <f ca="1">IF(COUNTIFS($CM$6:$CM$53,CM24,$BC$6:$BC$53,INDEX(T_Equipos[Grupo],MATCH(BD24,T_Equipos[NombreEquipo],0)))=1,"-","P."&amp;CM24&amp;" ("&amp;COUNTIFS($CM$6:$CM$53,CM24,$BC$6:$BC$53,INDEX(T_Equipos[Grupo],MATCH(BD24,T_Equipos[NombreEquipo],0)))&amp;")")</f>
        <v>P.1 (4)</v>
      </c>
      <c r="CO24" s="16">
        <f t="shared" ca="1" si="33"/>
        <v>0</v>
      </c>
      <c r="CP24" s="16">
        <f t="shared" ca="1" si="34"/>
        <v>0</v>
      </c>
      <c r="CQ24" s="16">
        <f t="shared" ca="1" si="51"/>
        <v>0</v>
      </c>
      <c r="CR24" s="16">
        <f ca="1">CM24+COUNTIFS($CN$6:$CN$53,CN24,$CQ$6:CQ$53,"&gt;"&amp;CQ24,$BC$6:$BC$53,INDEX(T_Equipos[Grupo],MATCH(BD24,T_Equipos[NombreEquipo],0)))</f>
        <v>1</v>
      </c>
      <c r="CS24" s="16" t="str">
        <f ca="1">IF(COUNTIFS($CR$6:$CR$53,CR24,$BC$6:$BC$53,INDEX(T_Equipos[Grupo],MATCH(BD24,T_Equipos[NombreEquipo],0)))=1,"-","P."&amp;CR24&amp;" ("&amp;COUNTIFS($CR$6:$CR$53,CR24,$BC$6:$BC$53,INDEX(T_Equipos[Grupo],MATCH(BD24,T_Equipos[NombreEquipo],0)))&amp;")")</f>
        <v>P.1 (4)</v>
      </c>
      <c r="CT24" s="16">
        <f t="shared" ca="1" si="35"/>
        <v>0</v>
      </c>
      <c r="CU24" s="16">
        <f ca="1">CR24+COUNTIFS($CS$6:$CS$53,CS24,$CT$6:CT$53,"&gt;"&amp;CT24,$BC$6:$BC$53,INDEX(T_Equipos[Grupo],MATCH(BD24,T_Equipos[NombreEquipo],0)))</f>
        <v>1</v>
      </c>
      <c r="CV24" s="16" t="str">
        <f ca="1">IF(COUNTIFS($CU$6:$CU$53,CU24,$BC$6:$BC$53,INDEX(T_Equipos[Grupo],MATCH(BD24,T_Equipos[NombreEquipo],0)))=1,"-","P."&amp;CU24&amp;" ("&amp;COUNTIFS($CU$6:$CU$53,CU24,$BC$6:$BC$53,INDEX(T_Equipos[Grupo],MATCH(BD24,T_Equipos[NombreEquipo],0)))&amp;")")</f>
        <v>P.1 (4)</v>
      </c>
      <c r="CW24" s="16">
        <f t="shared" ca="1" si="36"/>
        <v>0</v>
      </c>
      <c r="CX24" s="16">
        <f ca="1">CU24+COUNTIFS($CV$6:$CV$53,CV24,$CW$6:CW$53,"&gt;"&amp;CW24,$BC$6:$BC$53,INDEX(T_Equipos[Grupo],MATCH(BD24,T_Equipos[NombreEquipo],0)))</f>
        <v>1</v>
      </c>
      <c r="CY24" s="16" t="str">
        <f ca="1">IF(COUNTIFS($CX$6:$CX$53,CX24,$BC$6:$BC$53,INDEX(T_Equipos[Grupo],MATCH(BD24,T_Equipos[NombreEquipo],0)))=1,"-","P."&amp;CX24&amp;" ("&amp;COUNTIFS($CX$6:$CX$53,CX24,$BC$6:$BC$53,INDEX(T_Equipos[Grupo],MATCH(BD24,T_Equipos[NombreEquipo],0)))&amp;")")</f>
        <v>P.1 (4)</v>
      </c>
      <c r="CZ24" s="16">
        <f t="shared" ca="1" si="37"/>
        <v>0</v>
      </c>
      <c r="DA24" s="16">
        <f ca="1">CX24+COUNTIFS($CY$6:$CY$53,CY24,$CZ$6:CZ$53,"&gt;"&amp;CZ24,$BC$6:$BC$53,INDEX(T_Equipos[Grupo],MATCH(BD24,T_Equipos[NombreEquipo],0)))</f>
        <v>1</v>
      </c>
      <c r="DB24" s="16" t="str">
        <f ca="1">IF(COUNTIFS($DA$6:$DA$53,DA24,$BC$6:$BC$53,INDEX(T_Equipos[Grupo],MATCH(BD24,T_Equipos[NombreEquipo],0)))=1,"-","P."&amp;DA24&amp;" ("&amp;COUNTIFS($DA$6:$DA$53,DA24,$BC$6:$BC$53,INDEX(T_Equipos[Grupo],MATCH(BD24,T_Equipos[NombreEquipo],0)))&amp;")")</f>
        <v>P.1 (4)</v>
      </c>
      <c r="DC24" s="16">
        <f ca="1">IF(DB24="-","-",COUNTIFS(T_Equipos[Rank],"&lt;"&amp;INDEX(T_Equipos[Rank],MATCH(BD24,T_Equipos[NombreEquipo],0)),$BC$6:$BC$53,INDEX(T_Equipos[Grupo],MATCH(BD24,T_Equipos[NombreEquipo],0)))+1)</f>
        <v>3</v>
      </c>
      <c r="DD24" s="16">
        <f ca="1">DA24+COUNTIFS($DB$6:$DB$53,DB24,$DC$6:DC$53,"&lt;"&amp;DC24,$BC$6:$BC$53,INDEX(T_Equipos[Grupo],MATCH(BD24,T_Equipos[NombreEquipo],0)))</f>
        <v>3</v>
      </c>
      <c r="DE24" s="16"/>
      <c r="DF24" s="16">
        <f t="shared" ca="1" si="52"/>
        <v>3</v>
      </c>
      <c r="DG24" s="16">
        <f ca="1">IF(DB24="-","-",COUNTIFS(DF$6:DF$53,"&lt;"&amp;DF24,$BC$6:$BC$53,INDEX(T_Equipos[Grupo],MATCH(BD24,T_Equipos[NombreEquipo],0))))</f>
        <v>2</v>
      </c>
      <c r="DH24" s="16">
        <f ca="1">DA24+COUNTIFS(DB$6:DB$53,DB24,DG$6:DG$53,"&lt;"&amp;DG24,$BC$6:$BC$53,INDEX(T_Equipos[Grupo],MATCH(BD24,T_Equipos[NombreEquipo],0)))</f>
        <v>3</v>
      </c>
      <c r="DI24" s="16"/>
      <c r="DJ24" s="16">
        <f t="shared" ca="1" si="38"/>
        <v>1</v>
      </c>
      <c r="DK24" s="16">
        <f t="shared" ca="1" si="39"/>
        <v>0</v>
      </c>
      <c r="DL24" s="16">
        <f t="shared" ca="1" si="40"/>
        <v>1</v>
      </c>
      <c r="DM24" s="16" t="str">
        <f t="shared" ca="1" si="46"/>
        <v>1.1</v>
      </c>
      <c r="DN24" s="16" cm="1">
        <f t="array" aca="1" ref="DN24" ca="1">OFFSET(Horarios!$P$3,DJ24-1,0,DL24,1)</f>
        <v>1</v>
      </c>
      <c r="DO24" s="16"/>
      <c r="DP24" s="16" t="s">
        <v>94</v>
      </c>
      <c r="DQ24" s="16" t="str">
        <f t="shared" ca="1" si="47"/>
        <v>Ivory Coast</v>
      </c>
    </row>
    <row r="25" spans="1:121" ht="16" customHeight="1" thickBot="1" x14ac:dyDescent="0.25">
      <c r="A25" s="16"/>
      <c r="B25" s="16"/>
      <c r="C25" s="16"/>
      <c r="D25" s="16" t="str">
        <f t="shared" si="71"/>
        <v>Pendiente</v>
      </c>
      <c r="E25" s="16" t="str">
        <f t="shared" si="72"/>
        <v>-</v>
      </c>
      <c r="F25" s="16" t="str">
        <f t="shared" si="73"/>
        <v>-</v>
      </c>
      <c r="G25" s="16"/>
      <c r="H25" s="16" t="str">
        <f t="shared" si="74"/>
        <v>-</v>
      </c>
      <c r="I25" s="16" t="str">
        <f t="shared" si="75"/>
        <v>-</v>
      </c>
      <c r="J25" s="16"/>
      <c r="K25" s="16" t="str">
        <f t="shared" si="76"/>
        <v>-</v>
      </c>
      <c r="L25" s="16" t="str">
        <f t="shared" si="77"/>
        <v>-</v>
      </c>
      <c r="M25" s="16"/>
      <c r="N25" s="16" t="str">
        <f t="shared" si="78"/>
        <v>-</v>
      </c>
      <c r="O25" s="16" t="str">
        <f t="shared" si="79"/>
        <v>-</v>
      </c>
      <c r="P25" s="16"/>
      <c r="Q25" s="16" t="str">
        <f t="shared" si="80"/>
        <v>-</v>
      </c>
      <c r="R25" s="16" t="str">
        <f t="shared" si="81"/>
        <v>-</v>
      </c>
      <c r="S25" s="16"/>
      <c r="T25" s="16" t="str">
        <f t="shared" si="82"/>
        <v>-</v>
      </c>
      <c r="U25" s="16" t="str">
        <f t="shared" si="83"/>
        <v>-</v>
      </c>
      <c r="V25" s="17"/>
      <c r="W25" s="650"/>
      <c r="X25" s="28">
        <f ca="1">Horarios!C25</f>
        <v>46197.75</v>
      </c>
      <c r="Y25" s="29">
        <f ca="1">Horarios!C25</f>
        <v>46197.75</v>
      </c>
      <c r="Z25" s="30" t="str">
        <f>$Z$8</f>
        <v>R3</v>
      </c>
      <c r="AA25" s="31" t="str">
        <f ca="1">A22</f>
        <v>Morocco</v>
      </c>
      <c r="AB25" s="52" t="str" cm="1">
        <f t="array" aca="1" ref="AB25" ca="1">Ver_flag_local</f>
        <v>🇲🇦</v>
      </c>
      <c r="AC25" s="53"/>
      <c r="AD25" s="54"/>
      <c r="AE25" s="596" t="str" cm="1">
        <f t="array" aca="1" ref="AE25" ca="1">Ver_flag_visit</f>
        <v>🇭🇹</v>
      </c>
      <c r="AF25" s="33" t="str">
        <f ca="1">A23</f>
        <v>Haiti</v>
      </c>
      <c r="AG25" s="323">
        <f t="shared" si="84"/>
        <v>0</v>
      </c>
      <c r="AH25" s="195">
        <v>50</v>
      </c>
      <c r="AI25" s="181" t="str">
        <f t="shared" si="88"/>
        <v>4C</v>
      </c>
      <c r="AJ25" s="44">
        <v>4</v>
      </c>
      <c r="AK25" s="604" t="str" cm="1">
        <f t="array" aca="1" ref="AK25" ca="1">Ver_flag_visit</f>
        <v>🏴󠁧󠁢󠁳󠁣󠁴󠁿</v>
      </c>
      <c r="AL25" s="45" t="str">
        <f ca="1">IFERROR(INDEX($BD$6:$BD$53,MATCH(AI25,$BN$6:$BN$53,0)),"")</f>
        <v>Scotland</v>
      </c>
      <c r="AM25" s="46">
        <f t="shared" ca="1" si="87"/>
        <v>0</v>
      </c>
      <c r="AN25" s="47">
        <f t="shared" ca="1" si="87"/>
        <v>0</v>
      </c>
      <c r="AO25" s="47">
        <f t="shared" ca="1" si="87"/>
        <v>0</v>
      </c>
      <c r="AP25" s="47">
        <f t="shared" ca="1" si="87"/>
        <v>0</v>
      </c>
      <c r="AQ25" s="47">
        <f t="shared" ca="1" si="87"/>
        <v>0</v>
      </c>
      <c r="AR25" s="47">
        <f t="shared" ca="1" si="87"/>
        <v>0</v>
      </c>
      <c r="AS25" s="47">
        <f t="shared" ca="1" si="87"/>
        <v>0</v>
      </c>
      <c r="AT25" s="48">
        <f t="shared" ca="1" si="87"/>
        <v>0</v>
      </c>
      <c r="AU25" s="330">
        <f ca="1">INDEX($DL$6:$DL$53,MATCH(AI25,$DP$6:$DP$53,0))</f>
        <v>1</v>
      </c>
      <c r="AV25" s="182" t="str">
        <f ca="1">INDEX($BD$6:$BD$53,MATCH(AI25,$BM$6:$BM$53,0))</f>
        <v>Scotland</v>
      </c>
      <c r="AW25" s="210"/>
      <c r="AX25" s="171"/>
      <c r="AY25" s="205" t="str">
        <f ca="1">+A24</f>
        <v>Scotland</v>
      </c>
      <c r="AZ25" s="206"/>
      <c r="BA25" s="176"/>
      <c r="BC25" s="16" t="str">
        <f ca="1">+INDEX(T_Equipos[Grupo],MATCH(WORLDCUP!BD25,T_Equipos[NombreEquipo],0))</f>
        <v>E</v>
      </c>
      <c r="BD25" s="16" t="str">
        <f ca="1">+Equipos!B21</f>
        <v>Ecuador</v>
      </c>
      <c r="BE25" s="16">
        <f t="shared" ca="1" si="16"/>
        <v>0</v>
      </c>
      <c r="BF25" s="16">
        <f t="shared" ca="1" si="41"/>
        <v>0</v>
      </c>
      <c r="BG25" s="16">
        <f t="shared" ca="1" si="17"/>
        <v>0</v>
      </c>
      <c r="BH25" s="16">
        <f t="shared" ca="1" si="18"/>
        <v>0</v>
      </c>
      <c r="BI25" s="16">
        <f t="shared" ca="1" si="19"/>
        <v>0</v>
      </c>
      <c r="BJ25" s="16">
        <f t="shared" ca="1" si="20"/>
        <v>0</v>
      </c>
      <c r="BK25" s="16">
        <f t="shared" ca="1" si="21"/>
        <v>0</v>
      </c>
      <c r="BL25" s="16">
        <f t="shared" ca="1" si="42"/>
        <v>0</v>
      </c>
      <c r="BM25" s="16" t="str">
        <f t="shared" ca="1" si="22"/>
        <v>4E</v>
      </c>
      <c r="BN25" s="16" t="str">
        <f t="shared" ca="1" si="23"/>
        <v>4E</v>
      </c>
      <c r="BO25" s="16">
        <f t="shared" ca="1" si="43"/>
        <v>0</v>
      </c>
      <c r="BP25" s="16">
        <f ca="1">COUNTIFS($BO$6:$BO$53,"&gt;"&amp;BO25,$BC$6:$BC$53,INDEX(T_Equipos[Grupo],MATCH(BD25,T_Equipos[NombreEquipo],0)))+1</f>
        <v>1</v>
      </c>
      <c r="BQ25" s="16" t="str">
        <f ca="1">IF(COUNTIFS($BP$6:$BP$53,BP25,$BC$6:$BC$53,INDEX(T_Equipos[Grupo],MATCH(BD25,T_Equipos[NombreEquipo],0)))=1,"-","P."&amp;BP25&amp;" ("&amp;COUNTIFS($BP$6:$BP$53,BP25,$BC$6:$BC$53,INDEX(T_Equipos[Grupo],MATCH(BD25,T_Equipos[NombreEquipo],0)))&amp;")")</f>
        <v>P.1 (4)</v>
      </c>
      <c r="BR25" s="16">
        <f t="shared" ca="1" si="44"/>
        <v>0</v>
      </c>
      <c r="BS25" s="16">
        <f ca="1">BP25+COUNTIFS($BQ$6:$BQ$53,BQ25,$BR$6:BR$53,"&gt;"&amp;BR25,$BC$6:$BC$53,INDEX(T_Equipos[Grupo],MATCH(BD25,T_Equipos[NombreEquipo],0)))</f>
        <v>1</v>
      </c>
      <c r="BT25" s="16" t="str">
        <f ca="1">IF(COUNTIFS($BS$6:$BS$53,BS25,$BC$6:$BC$53,INDEX(T_Equipos[Grupo],MATCH(BD25,T_Equipos[NombreEquipo],0)))=1,"-","P."&amp;BS25&amp;" ("&amp;COUNTIFS($BS$6:$BS$53,BS25,$BC$6:$BC$53,INDEX(T_Equipos[Grupo],MATCH(BD25,T_Equipos[NombreEquipo],0)))&amp;")")</f>
        <v>P.1 (4)</v>
      </c>
      <c r="BU25" s="16">
        <f t="shared" ca="1" si="24"/>
        <v>0</v>
      </c>
      <c r="BV25" s="16">
        <f t="shared" ca="1" si="25"/>
        <v>0</v>
      </c>
      <c r="BW25" s="16">
        <f t="shared" ca="1" si="26"/>
        <v>0</v>
      </c>
      <c r="BX25" s="16">
        <f t="shared" ca="1" si="48"/>
        <v>0</v>
      </c>
      <c r="BY25" s="16">
        <f ca="1">BS25+COUNTIFS($BT$6:$BT$53,BT25,$BX$6:BX$53,"&gt;"&amp;BX25,$BC$6:$BC$53,INDEX(T_Equipos[Grupo],MATCH(BD25,T_Equipos[NombreEquipo],0)))</f>
        <v>1</v>
      </c>
      <c r="BZ25" s="16" t="str">
        <f ca="1">IF(COUNTIFS($BY$6:$BY$53,BY25,$BC$6:$BC$53,INDEX(T_Equipos[Grupo],MATCH(BD25,T_Equipos[NombreEquipo],0)))=1,"-","P."&amp;BY25&amp;" ("&amp;COUNTIFS($BY$6:$BY$53,BY25,$BC$6:$BC$53,INDEX(T_Equipos[Grupo],MATCH(BD25,T_Equipos[NombreEquipo],0)))&amp;")")</f>
        <v>P.1 (4)</v>
      </c>
      <c r="CA25" s="16">
        <f t="shared" ca="1" si="27"/>
        <v>0</v>
      </c>
      <c r="CB25" s="16">
        <f t="shared" ca="1" si="28"/>
        <v>0</v>
      </c>
      <c r="CC25" s="16">
        <f t="shared" ca="1" si="49"/>
        <v>0</v>
      </c>
      <c r="CD25" s="16">
        <f ca="1">BY25+COUNTIFS($BZ$6:$BZ$53,BZ25,$CC$6:CC$53,"&gt;"&amp;CC25,$BC$6:$BC$53,INDEX(T_Equipos[Grupo],MATCH(BD25,T_Equipos[NombreEquipo],0)))</f>
        <v>1</v>
      </c>
      <c r="CE25" s="16" t="str">
        <f ca="1">IF(COUNTIFS($CD$6:$CD$53,CD25,$BC$6:$BC$53,INDEX(T_Equipos[Grupo],MATCH(BD25,T_Equipos[NombreEquipo],0)))=1,"-","P."&amp;CD25&amp;" ("&amp;COUNTIFS($CD$6:$CD$53,CD25,$BC$6:$BC$53,INDEX(T_Equipos[Grupo],MATCH(BD25,T_Equipos[NombreEquipo],0)))&amp;")")</f>
        <v>P.1 (4)</v>
      </c>
      <c r="CF25" s="16">
        <f t="shared" ca="1" si="29"/>
        <v>0</v>
      </c>
      <c r="CG25" s="16">
        <f ca="1">CD25+COUNTIFS($CE$6:$CE$53,CE25,$CF$6:CF$53,"&gt;"&amp;CF25,$BC$6:$BC$53,INDEX(T_Equipos[Grupo],MATCH(BD25,T_Equipos[NombreEquipo],0)))</f>
        <v>1</v>
      </c>
      <c r="CH25" s="16" t="str">
        <f ca="1">IF(COUNTIFS($CG$6:$CG$53,CG25,$BC$6:$BC$53,INDEX(T_Equipos[Grupo],MATCH(BD25,T_Equipos[NombreEquipo],0)))=1,"-","P."&amp;CG25&amp;" ("&amp;COUNTIFS($CG$6:$CG$53,CG25,$BC$6:$BC$53,INDEX(T_Equipos[Grupo],MATCH(BD25,T_Equipos[NombreEquipo],0)))&amp;")")</f>
        <v>P.1 (4)</v>
      </c>
      <c r="CI25" s="16">
        <f t="shared" ca="1" si="30"/>
        <v>0</v>
      </c>
      <c r="CJ25" s="16">
        <f t="shared" ca="1" si="31"/>
        <v>0</v>
      </c>
      <c r="CK25" s="16">
        <f t="shared" ca="1" si="32"/>
        <v>0</v>
      </c>
      <c r="CL25" s="16">
        <f t="shared" ca="1" si="50"/>
        <v>0</v>
      </c>
      <c r="CM25" s="16">
        <f ca="1">CG25+COUNTIFS($CH$6:$CH$53,CH25,$CL$6:CL$53,"&gt;"&amp;CL25,$BC$6:$BC$53,INDEX(T_Equipos[Grupo],MATCH(BD25,T_Equipos[NombreEquipo],0)))</f>
        <v>1</v>
      </c>
      <c r="CN25" s="16" t="str">
        <f ca="1">IF(COUNTIFS($CM$6:$CM$53,CM25,$BC$6:$BC$53,INDEX(T_Equipos[Grupo],MATCH(BD25,T_Equipos[NombreEquipo],0)))=1,"-","P."&amp;CM25&amp;" ("&amp;COUNTIFS($CM$6:$CM$53,CM25,$BC$6:$BC$53,INDEX(T_Equipos[Grupo],MATCH(BD25,T_Equipos[NombreEquipo],0)))&amp;")")</f>
        <v>P.1 (4)</v>
      </c>
      <c r="CO25" s="16">
        <f t="shared" ca="1" si="33"/>
        <v>0</v>
      </c>
      <c r="CP25" s="16">
        <f t="shared" ca="1" si="34"/>
        <v>0</v>
      </c>
      <c r="CQ25" s="16">
        <f t="shared" ca="1" si="51"/>
        <v>0</v>
      </c>
      <c r="CR25" s="16">
        <f ca="1">CM25+COUNTIFS($CN$6:$CN$53,CN25,$CQ$6:CQ$53,"&gt;"&amp;CQ25,$BC$6:$BC$53,INDEX(T_Equipos[Grupo],MATCH(BD25,T_Equipos[NombreEquipo],0)))</f>
        <v>1</v>
      </c>
      <c r="CS25" s="16" t="str">
        <f ca="1">IF(COUNTIFS($CR$6:$CR$53,CR25,$BC$6:$BC$53,INDEX(T_Equipos[Grupo],MATCH(BD25,T_Equipos[NombreEquipo],0)))=1,"-","P."&amp;CR25&amp;" ("&amp;COUNTIFS($CR$6:$CR$53,CR25,$BC$6:$BC$53,INDEX(T_Equipos[Grupo],MATCH(BD25,T_Equipos[NombreEquipo],0)))&amp;")")</f>
        <v>P.1 (4)</v>
      </c>
      <c r="CT25" s="16">
        <f t="shared" ca="1" si="35"/>
        <v>0</v>
      </c>
      <c r="CU25" s="16">
        <f ca="1">CR25+COUNTIFS($CS$6:$CS$53,CS25,$CT$6:CT$53,"&gt;"&amp;CT25,$BC$6:$BC$53,INDEX(T_Equipos[Grupo],MATCH(BD25,T_Equipos[NombreEquipo],0)))</f>
        <v>1</v>
      </c>
      <c r="CV25" s="16" t="str">
        <f ca="1">IF(COUNTIFS($CU$6:$CU$53,CU25,$BC$6:$BC$53,INDEX(T_Equipos[Grupo],MATCH(BD25,T_Equipos[NombreEquipo],0)))=1,"-","P."&amp;CU25&amp;" ("&amp;COUNTIFS($CU$6:$CU$53,CU25,$BC$6:$BC$53,INDEX(T_Equipos[Grupo],MATCH(BD25,T_Equipos[NombreEquipo],0)))&amp;")")</f>
        <v>P.1 (4)</v>
      </c>
      <c r="CW25" s="16">
        <f t="shared" ca="1" si="36"/>
        <v>0</v>
      </c>
      <c r="CX25" s="16">
        <f ca="1">CU25+COUNTIFS($CV$6:$CV$53,CV25,$CW$6:CW$53,"&gt;"&amp;CW25,$BC$6:$BC$53,INDEX(T_Equipos[Grupo],MATCH(BD25,T_Equipos[NombreEquipo],0)))</f>
        <v>1</v>
      </c>
      <c r="CY25" s="16" t="str">
        <f ca="1">IF(COUNTIFS($CX$6:$CX$53,CX25,$BC$6:$BC$53,INDEX(T_Equipos[Grupo],MATCH(BD25,T_Equipos[NombreEquipo],0)))=1,"-","P."&amp;CX25&amp;" ("&amp;COUNTIFS($CX$6:$CX$53,CX25,$BC$6:$BC$53,INDEX(T_Equipos[Grupo],MATCH(BD25,T_Equipos[NombreEquipo],0)))&amp;")")</f>
        <v>P.1 (4)</v>
      </c>
      <c r="CZ25" s="16">
        <f t="shared" ca="1" si="37"/>
        <v>0</v>
      </c>
      <c r="DA25" s="16">
        <f ca="1">CX25+COUNTIFS($CY$6:$CY$53,CY25,$CZ$6:CZ$53,"&gt;"&amp;CZ25,$BC$6:$BC$53,INDEX(T_Equipos[Grupo],MATCH(BD25,T_Equipos[NombreEquipo],0)))</f>
        <v>1</v>
      </c>
      <c r="DB25" s="16" t="str">
        <f ca="1">IF(COUNTIFS($DA$6:$DA$53,DA25,$BC$6:$BC$53,INDEX(T_Equipos[Grupo],MATCH(BD25,T_Equipos[NombreEquipo],0)))=1,"-","P."&amp;DA25&amp;" ("&amp;COUNTIFS($DA$6:$DA$53,DA25,$BC$6:$BC$53,INDEX(T_Equipos[Grupo],MATCH(BD25,T_Equipos[NombreEquipo],0)))&amp;")")</f>
        <v>P.1 (4)</v>
      </c>
      <c r="DC25" s="16">
        <f ca="1">IF(DB25="-","-",COUNTIFS(T_Equipos[Rank],"&lt;"&amp;INDEX(T_Equipos[Rank],MATCH(BD25,T_Equipos[NombreEquipo],0)),$BC$6:$BC$53,INDEX(T_Equipos[Grupo],MATCH(BD25,T_Equipos[NombreEquipo],0)))+1)</f>
        <v>4</v>
      </c>
      <c r="DD25" s="16">
        <f ca="1">DA25+COUNTIFS($DB$6:$DB$53,DB25,$DC$6:DC$53,"&lt;"&amp;DC25,$BC$6:$BC$53,INDEX(T_Equipos[Grupo],MATCH(BD25,T_Equipos[NombreEquipo],0)))</f>
        <v>4</v>
      </c>
      <c r="DE25" s="16"/>
      <c r="DF25" s="16">
        <f t="shared" ca="1" si="52"/>
        <v>4</v>
      </c>
      <c r="DG25" s="16">
        <f ca="1">IF(DB25="-","-",COUNTIFS(DF$6:DF$53,"&lt;"&amp;DF25,$BC$6:$BC$53,INDEX(T_Equipos[Grupo],MATCH(BD25,T_Equipos[NombreEquipo],0))))</f>
        <v>3</v>
      </c>
      <c r="DH25" s="16">
        <f ca="1">DA25+COUNTIFS(DB$6:DB$53,DB25,DG$6:DG$53,"&lt;"&amp;DG25,$BC$6:$BC$53,INDEX(T_Equipos[Grupo],MATCH(BD25,T_Equipos[NombreEquipo],0)))</f>
        <v>4</v>
      </c>
      <c r="DI25" s="16"/>
      <c r="DJ25" s="16">
        <f t="shared" ca="1" si="38"/>
        <v>1</v>
      </c>
      <c r="DK25" s="16">
        <f t="shared" ca="1" si="39"/>
        <v>0</v>
      </c>
      <c r="DL25" s="16">
        <f t="shared" ca="1" si="40"/>
        <v>1</v>
      </c>
      <c r="DM25" s="16" t="str">
        <f t="shared" ca="1" si="46"/>
        <v>1.1</v>
      </c>
      <c r="DN25" s="16" cm="1">
        <f t="array" aca="1" ref="DN25" ca="1">OFFSET(Horarios!$P$3,DJ25-1,0,DL25,1)</f>
        <v>1</v>
      </c>
      <c r="DO25" s="16"/>
      <c r="DP25" s="16" t="s">
        <v>674</v>
      </c>
      <c r="DQ25" s="16" t="str">
        <f t="shared" ca="1" si="47"/>
        <v>Ecuador</v>
      </c>
    </row>
    <row r="26" spans="1:121" ht="16" customHeight="1" thickBot="1" x14ac:dyDescent="0.25">
      <c r="A26" s="16"/>
      <c r="B26" s="16"/>
      <c r="C26" s="16"/>
      <c r="D26" s="16"/>
      <c r="E26" s="16"/>
      <c r="F26" s="16"/>
      <c r="G26" s="16"/>
      <c r="H26" s="16"/>
      <c r="I26" s="16"/>
      <c r="J26" s="16"/>
      <c r="K26" s="16"/>
      <c r="L26" s="16"/>
      <c r="M26" s="16"/>
      <c r="N26" s="16"/>
      <c r="O26" s="16"/>
      <c r="P26" s="16"/>
      <c r="Q26" s="16"/>
      <c r="R26" s="16"/>
      <c r="S26" s="16"/>
      <c r="T26" s="16"/>
      <c r="U26" s="16"/>
      <c r="V26" s="17"/>
      <c r="W26" s="154"/>
      <c r="X26" s="155"/>
      <c r="Y26" s="154"/>
      <c r="Z26" s="156"/>
      <c r="AA26" s="157"/>
      <c r="AB26" s="158"/>
      <c r="AC26" s="151"/>
      <c r="AD26" s="151"/>
      <c r="AE26" s="158"/>
      <c r="AF26" s="159"/>
      <c r="AG26" s="325"/>
      <c r="AH26" s="195"/>
      <c r="AI26" s="180"/>
      <c r="AJ26" s="160"/>
      <c r="AK26" s="161"/>
      <c r="AL26" s="162"/>
      <c r="AM26" s="163"/>
      <c r="AN26" s="160"/>
      <c r="AO26" s="160"/>
      <c r="AP26" s="160"/>
      <c r="AQ26" s="160"/>
      <c r="AR26" s="160"/>
      <c r="AS26" s="160"/>
      <c r="AT26" s="160"/>
      <c r="AU26" s="330"/>
      <c r="AV26" s="189"/>
      <c r="AW26" s="211"/>
      <c r="AX26" s="171"/>
      <c r="AY26" s="154"/>
      <c r="AZ26" s="155"/>
      <c r="BA26" s="176"/>
      <c r="BC26" s="16" t="str">
        <f ca="1">+INDEX(T_Equipos[Grupo],MATCH(WORLDCUP!BD26,T_Equipos[NombreEquipo],0))</f>
        <v>F</v>
      </c>
      <c r="BD26" s="16" t="str">
        <f ca="1">+Equipos!B22</f>
        <v>Netherlands</v>
      </c>
      <c r="BE26" s="16">
        <f t="shared" ca="1" si="16"/>
        <v>0</v>
      </c>
      <c r="BF26" s="16">
        <f t="shared" ca="1" si="41"/>
        <v>0</v>
      </c>
      <c r="BG26" s="16">
        <f t="shared" ca="1" si="17"/>
        <v>0</v>
      </c>
      <c r="BH26" s="16">
        <f t="shared" ca="1" si="18"/>
        <v>0</v>
      </c>
      <c r="BI26" s="16">
        <f t="shared" ca="1" si="19"/>
        <v>0</v>
      </c>
      <c r="BJ26" s="16">
        <f t="shared" ca="1" si="20"/>
        <v>0</v>
      </c>
      <c r="BK26" s="16">
        <f t="shared" ca="1" si="21"/>
        <v>0</v>
      </c>
      <c r="BL26" s="16">
        <f t="shared" ca="1" si="42"/>
        <v>0</v>
      </c>
      <c r="BM26" s="16" t="str">
        <f t="shared" ca="1" si="22"/>
        <v>1F</v>
      </c>
      <c r="BN26" s="16" t="str">
        <f t="shared" ca="1" si="23"/>
        <v>1F</v>
      </c>
      <c r="BO26" s="16">
        <f t="shared" ca="1" si="43"/>
        <v>0</v>
      </c>
      <c r="BP26" s="16">
        <f ca="1">COUNTIFS($BO$6:$BO$53,"&gt;"&amp;BO26,$BC$6:$BC$53,INDEX(T_Equipos[Grupo],MATCH(BD26,T_Equipos[NombreEquipo],0)))+1</f>
        <v>1</v>
      </c>
      <c r="BQ26" s="16" t="str">
        <f ca="1">IF(COUNTIFS($BP$6:$BP$53,BP26,$BC$6:$BC$53,INDEX(T_Equipos[Grupo],MATCH(BD26,T_Equipos[NombreEquipo],0)))=1,"-","P."&amp;BP26&amp;" ("&amp;COUNTIFS($BP$6:$BP$53,BP26,$BC$6:$BC$53,INDEX(T_Equipos[Grupo],MATCH(BD26,T_Equipos[NombreEquipo],0)))&amp;")")</f>
        <v>P.1 (4)</v>
      </c>
      <c r="BR26" s="16">
        <f t="shared" ca="1" si="44"/>
        <v>0</v>
      </c>
      <c r="BS26" s="16">
        <f ca="1">BP26+COUNTIFS($BQ$6:$BQ$53,BQ26,$BR$6:BR$53,"&gt;"&amp;BR26,$BC$6:$BC$53,INDEX(T_Equipos[Grupo],MATCH(BD26,T_Equipos[NombreEquipo],0)))</f>
        <v>1</v>
      </c>
      <c r="BT26" s="16" t="str">
        <f ca="1">IF(COUNTIFS($BS$6:$BS$53,BS26,$BC$6:$BC$53,INDEX(T_Equipos[Grupo],MATCH(BD26,T_Equipos[NombreEquipo],0)))=1,"-","P."&amp;BS26&amp;" ("&amp;COUNTIFS($BS$6:$BS$53,BS26,$BC$6:$BC$53,INDEX(T_Equipos[Grupo],MATCH(BD26,T_Equipos[NombreEquipo],0)))&amp;")")</f>
        <v>P.1 (4)</v>
      </c>
      <c r="BU26" s="16">
        <f t="shared" ca="1" si="24"/>
        <v>0</v>
      </c>
      <c r="BV26" s="16">
        <f t="shared" ca="1" si="25"/>
        <v>0</v>
      </c>
      <c r="BW26" s="16">
        <f t="shared" ca="1" si="26"/>
        <v>0</v>
      </c>
      <c r="BX26" s="16">
        <f t="shared" ca="1" si="48"/>
        <v>0</v>
      </c>
      <c r="BY26" s="16">
        <f ca="1">BS26+COUNTIFS($BT$6:$BT$53,BT26,$BX$6:BX$53,"&gt;"&amp;BX26,$BC$6:$BC$53,INDEX(T_Equipos[Grupo],MATCH(BD26,T_Equipos[NombreEquipo],0)))</f>
        <v>1</v>
      </c>
      <c r="BZ26" s="16" t="str">
        <f ca="1">IF(COUNTIFS($BY$6:$BY$53,BY26,$BC$6:$BC$53,INDEX(T_Equipos[Grupo],MATCH(BD26,T_Equipos[NombreEquipo],0)))=1,"-","P."&amp;BY26&amp;" ("&amp;COUNTIFS($BY$6:$BY$53,BY26,$BC$6:$BC$53,INDEX(T_Equipos[Grupo],MATCH(BD26,T_Equipos[NombreEquipo],0)))&amp;")")</f>
        <v>P.1 (4)</v>
      </c>
      <c r="CA26" s="16">
        <f t="shared" ca="1" si="27"/>
        <v>0</v>
      </c>
      <c r="CB26" s="16">
        <f t="shared" ca="1" si="28"/>
        <v>0</v>
      </c>
      <c r="CC26" s="16">
        <f t="shared" ca="1" si="49"/>
        <v>0</v>
      </c>
      <c r="CD26" s="16">
        <f ca="1">BY26+COUNTIFS($BZ$6:$BZ$53,BZ26,$CC$6:CC$53,"&gt;"&amp;CC26,$BC$6:$BC$53,INDEX(T_Equipos[Grupo],MATCH(BD26,T_Equipos[NombreEquipo],0)))</f>
        <v>1</v>
      </c>
      <c r="CE26" s="16" t="str">
        <f ca="1">IF(COUNTIFS($CD$6:$CD$53,CD26,$BC$6:$BC$53,INDEX(T_Equipos[Grupo],MATCH(BD26,T_Equipos[NombreEquipo],0)))=1,"-","P."&amp;CD26&amp;" ("&amp;COUNTIFS($CD$6:$CD$53,CD26,$BC$6:$BC$53,INDEX(T_Equipos[Grupo],MATCH(BD26,T_Equipos[NombreEquipo],0)))&amp;")")</f>
        <v>P.1 (4)</v>
      </c>
      <c r="CF26" s="16">
        <f t="shared" ca="1" si="29"/>
        <v>0</v>
      </c>
      <c r="CG26" s="16">
        <f ca="1">CD26+COUNTIFS($CE$6:$CE$53,CE26,$CF$6:CF$53,"&gt;"&amp;CF26,$BC$6:$BC$53,INDEX(T_Equipos[Grupo],MATCH(BD26,T_Equipos[NombreEquipo],0)))</f>
        <v>1</v>
      </c>
      <c r="CH26" s="16" t="str">
        <f ca="1">IF(COUNTIFS($CG$6:$CG$53,CG26,$BC$6:$BC$53,INDEX(T_Equipos[Grupo],MATCH(BD26,T_Equipos[NombreEquipo],0)))=1,"-","P."&amp;CG26&amp;" ("&amp;COUNTIFS($CG$6:$CG$53,CG26,$BC$6:$BC$53,INDEX(T_Equipos[Grupo],MATCH(BD26,T_Equipos[NombreEquipo],0)))&amp;")")</f>
        <v>P.1 (4)</v>
      </c>
      <c r="CI26" s="16">
        <f t="shared" ca="1" si="30"/>
        <v>0</v>
      </c>
      <c r="CJ26" s="16">
        <f t="shared" ca="1" si="31"/>
        <v>0</v>
      </c>
      <c r="CK26" s="16">
        <f t="shared" ca="1" si="32"/>
        <v>0</v>
      </c>
      <c r="CL26" s="16">
        <f t="shared" ca="1" si="50"/>
        <v>0</v>
      </c>
      <c r="CM26" s="16">
        <f ca="1">CG26+COUNTIFS($CH$6:$CH$53,CH26,$CL$6:CL$53,"&gt;"&amp;CL26,$BC$6:$BC$53,INDEX(T_Equipos[Grupo],MATCH(BD26,T_Equipos[NombreEquipo],0)))</f>
        <v>1</v>
      </c>
      <c r="CN26" s="16" t="str">
        <f ca="1">IF(COUNTIFS($CM$6:$CM$53,CM26,$BC$6:$BC$53,INDEX(T_Equipos[Grupo],MATCH(BD26,T_Equipos[NombreEquipo],0)))=1,"-","P."&amp;CM26&amp;" ("&amp;COUNTIFS($CM$6:$CM$53,CM26,$BC$6:$BC$53,INDEX(T_Equipos[Grupo],MATCH(BD26,T_Equipos[NombreEquipo],0)))&amp;")")</f>
        <v>P.1 (4)</v>
      </c>
      <c r="CO26" s="16">
        <f t="shared" ca="1" si="33"/>
        <v>0</v>
      </c>
      <c r="CP26" s="16">
        <f t="shared" ca="1" si="34"/>
        <v>0</v>
      </c>
      <c r="CQ26" s="16">
        <f t="shared" ca="1" si="51"/>
        <v>0</v>
      </c>
      <c r="CR26" s="16">
        <f ca="1">CM26+COUNTIFS($CN$6:$CN$53,CN26,$CQ$6:CQ$53,"&gt;"&amp;CQ26,$BC$6:$BC$53,INDEX(T_Equipos[Grupo],MATCH(BD26,T_Equipos[NombreEquipo],0)))</f>
        <v>1</v>
      </c>
      <c r="CS26" s="16" t="str">
        <f ca="1">IF(COUNTIFS($CR$6:$CR$53,CR26,$BC$6:$BC$53,INDEX(T_Equipos[Grupo],MATCH(BD26,T_Equipos[NombreEquipo],0)))=1,"-","P."&amp;CR26&amp;" ("&amp;COUNTIFS($CR$6:$CR$53,CR26,$BC$6:$BC$53,INDEX(T_Equipos[Grupo],MATCH(BD26,T_Equipos[NombreEquipo],0)))&amp;")")</f>
        <v>P.1 (4)</v>
      </c>
      <c r="CT26" s="16">
        <f t="shared" ca="1" si="35"/>
        <v>0</v>
      </c>
      <c r="CU26" s="16">
        <f ca="1">CR26+COUNTIFS($CS$6:$CS$53,CS26,$CT$6:CT$53,"&gt;"&amp;CT26,$BC$6:$BC$53,INDEX(T_Equipos[Grupo],MATCH(BD26,T_Equipos[NombreEquipo],0)))</f>
        <v>1</v>
      </c>
      <c r="CV26" s="16" t="str">
        <f ca="1">IF(COUNTIFS($CU$6:$CU$53,CU26,$BC$6:$BC$53,INDEX(T_Equipos[Grupo],MATCH(BD26,T_Equipos[NombreEquipo],0)))=1,"-","P."&amp;CU26&amp;" ("&amp;COUNTIFS($CU$6:$CU$53,CU26,$BC$6:$BC$53,INDEX(T_Equipos[Grupo],MATCH(BD26,T_Equipos[NombreEquipo],0)))&amp;")")</f>
        <v>P.1 (4)</v>
      </c>
      <c r="CW26" s="16">
        <f t="shared" ca="1" si="36"/>
        <v>0</v>
      </c>
      <c r="CX26" s="16">
        <f ca="1">CU26+COUNTIFS($CV$6:$CV$53,CV26,$CW$6:CW$53,"&gt;"&amp;CW26,$BC$6:$BC$53,INDEX(T_Equipos[Grupo],MATCH(BD26,T_Equipos[NombreEquipo],0)))</f>
        <v>1</v>
      </c>
      <c r="CY26" s="16" t="str">
        <f ca="1">IF(COUNTIFS($CX$6:$CX$53,CX26,$BC$6:$BC$53,INDEX(T_Equipos[Grupo],MATCH(BD26,T_Equipos[NombreEquipo],0)))=1,"-","P."&amp;CX26&amp;" ("&amp;COUNTIFS($CX$6:$CX$53,CX26,$BC$6:$BC$53,INDEX(T_Equipos[Grupo],MATCH(BD26,T_Equipos[NombreEquipo],0)))&amp;")")</f>
        <v>P.1 (4)</v>
      </c>
      <c r="CZ26" s="16">
        <f t="shared" ca="1" si="37"/>
        <v>0</v>
      </c>
      <c r="DA26" s="16">
        <f ca="1">CX26+COUNTIFS($CY$6:$CY$53,CY26,$CZ$6:CZ$53,"&gt;"&amp;CZ26,$BC$6:$BC$53,INDEX(T_Equipos[Grupo],MATCH(BD26,T_Equipos[NombreEquipo],0)))</f>
        <v>1</v>
      </c>
      <c r="DB26" s="16" t="str">
        <f ca="1">IF(COUNTIFS($DA$6:$DA$53,DA26,$BC$6:$BC$53,INDEX(T_Equipos[Grupo],MATCH(BD26,T_Equipos[NombreEquipo],0)))=1,"-","P."&amp;DA26&amp;" ("&amp;COUNTIFS($DA$6:$DA$53,DA26,$BC$6:$BC$53,INDEX(T_Equipos[Grupo],MATCH(BD26,T_Equipos[NombreEquipo],0)))&amp;")")</f>
        <v>P.1 (4)</v>
      </c>
      <c r="DC26" s="16">
        <f ca="1">IF(DB26="-","-",COUNTIFS(T_Equipos[Rank],"&lt;"&amp;INDEX(T_Equipos[Rank],MATCH(BD26,T_Equipos[NombreEquipo],0)),$BC$6:$BC$53,INDEX(T_Equipos[Grupo],MATCH(BD26,T_Equipos[NombreEquipo],0)))+1)</f>
        <v>1</v>
      </c>
      <c r="DD26" s="16">
        <f ca="1">DA26+COUNTIFS($DB$6:$DB$53,DB26,$DC$6:DC$53,"&lt;"&amp;DC26,$BC$6:$BC$53,INDEX(T_Equipos[Grupo],MATCH(BD26,T_Equipos[NombreEquipo],0)))</f>
        <v>1</v>
      </c>
      <c r="DE26" s="16"/>
      <c r="DF26" s="16">
        <f t="shared" ca="1" si="52"/>
        <v>1</v>
      </c>
      <c r="DG26" s="16">
        <f ca="1">IF(DB26="-","-",COUNTIFS(DF$6:DF$53,"&lt;"&amp;DF26,$BC$6:$BC$53,INDEX(T_Equipos[Grupo],MATCH(BD26,T_Equipos[NombreEquipo],0))))</f>
        <v>0</v>
      </c>
      <c r="DH26" s="16">
        <f ca="1">DA26+COUNTIFS(DB$6:DB$53,DB26,DG$6:DG$53,"&lt;"&amp;DG26,$BC$6:$BC$53,INDEX(T_Equipos[Grupo],MATCH(BD26,T_Equipos[NombreEquipo],0)))</f>
        <v>1</v>
      </c>
      <c r="DI26" s="16"/>
      <c r="DJ26" s="16">
        <f t="shared" ca="1" si="38"/>
        <v>1</v>
      </c>
      <c r="DK26" s="16">
        <f t="shared" ca="1" si="39"/>
        <v>0</v>
      </c>
      <c r="DL26" s="16">
        <f t="shared" ca="1" si="40"/>
        <v>1</v>
      </c>
      <c r="DM26" s="16" t="str">
        <f t="shared" ca="1" si="46"/>
        <v>1.1</v>
      </c>
      <c r="DN26" s="16" cm="1">
        <f t="array" aca="1" ref="DN26" ca="1">OFFSET(Horarios!$P$3,DJ26-1,0,DL26,1)</f>
        <v>1</v>
      </c>
      <c r="DO26" s="16"/>
      <c r="DP26" s="16" t="s">
        <v>675</v>
      </c>
      <c r="DQ26" s="16" t="str">
        <f t="shared" ca="1" si="47"/>
        <v>Netherlands</v>
      </c>
    </row>
    <row r="27" spans="1:121" ht="16" customHeight="1" thickBot="1" x14ac:dyDescent="0.25">
      <c r="A27" s="16"/>
      <c r="B27" s="16"/>
      <c r="C27" s="16"/>
      <c r="D27" s="16"/>
      <c r="E27" s="16"/>
      <c r="F27" s="16"/>
      <c r="G27" s="16"/>
      <c r="H27" s="16"/>
      <c r="I27" s="16"/>
      <c r="J27" s="16"/>
      <c r="K27" s="16"/>
      <c r="L27" s="16"/>
      <c r="M27" s="16"/>
      <c r="N27" s="16"/>
      <c r="O27" s="16"/>
      <c r="P27" s="16"/>
      <c r="Q27" s="16"/>
      <c r="R27" s="16"/>
      <c r="S27" s="16"/>
      <c r="T27" s="16"/>
      <c r="U27" s="16"/>
      <c r="V27" s="17"/>
      <c r="W27" s="8"/>
      <c r="X27" s="69" t="str">
        <f>X11</f>
        <v>Date</v>
      </c>
      <c r="Y27" s="69" t="str">
        <f>Y11</f>
        <v>Hour</v>
      </c>
      <c r="Z27" s="55" t="str">
        <f t="shared" ref="Z27:AA27" si="89">Z11</f>
        <v>R</v>
      </c>
      <c r="AA27" s="57" t="str">
        <f t="shared" si="89"/>
        <v>Home</v>
      </c>
      <c r="AB27" s="56"/>
      <c r="AC27" s="55" t="str">
        <f>AC3</f>
        <v>Goal</v>
      </c>
      <c r="AD27" s="55" t="str">
        <f>AD3</f>
        <v>Goal</v>
      </c>
      <c r="AE27" s="56"/>
      <c r="AF27" s="58" t="str">
        <f t="shared" ref="AF27" si="90">AF11</f>
        <v>Away</v>
      </c>
      <c r="AG27" s="324"/>
      <c r="AH27" s="195"/>
      <c r="AI27" s="179"/>
      <c r="AJ27" s="162"/>
      <c r="AK27" s="600"/>
      <c r="AL27" s="162"/>
      <c r="AM27" s="162"/>
      <c r="AN27" s="162"/>
      <c r="AO27" s="162"/>
      <c r="AP27" s="162"/>
      <c r="AQ27" s="162"/>
      <c r="AR27" s="162"/>
      <c r="AS27" s="162"/>
      <c r="AT27" s="162"/>
      <c r="AU27" s="331"/>
      <c r="AV27" s="188"/>
      <c r="AW27" s="212"/>
      <c r="AX27" s="172"/>
      <c r="AY27" s="154"/>
      <c r="AZ27" s="155"/>
      <c r="BA27" s="176"/>
      <c r="BC27" s="16" t="str">
        <f ca="1">+INDEX(T_Equipos[Grupo],MATCH(WORLDCUP!BD27,T_Equipos[NombreEquipo],0))</f>
        <v>F</v>
      </c>
      <c r="BD27" s="16" t="str">
        <f ca="1">+Equipos!B23</f>
        <v>Japan</v>
      </c>
      <c r="BE27" s="16">
        <f t="shared" ca="1" si="16"/>
        <v>0</v>
      </c>
      <c r="BF27" s="16">
        <f t="shared" ca="1" si="41"/>
        <v>0</v>
      </c>
      <c r="BG27" s="16">
        <f t="shared" ca="1" si="17"/>
        <v>0</v>
      </c>
      <c r="BH27" s="16">
        <f t="shared" ca="1" si="18"/>
        <v>0</v>
      </c>
      <c r="BI27" s="16">
        <f t="shared" ca="1" si="19"/>
        <v>0</v>
      </c>
      <c r="BJ27" s="16">
        <f t="shared" ca="1" si="20"/>
        <v>0</v>
      </c>
      <c r="BK27" s="16">
        <f t="shared" ca="1" si="21"/>
        <v>0</v>
      </c>
      <c r="BL27" s="16">
        <f t="shared" ca="1" si="42"/>
        <v>0</v>
      </c>
      <c r="BM27" s="16" t="str">
        <f t="shared" ca="1" si="22"/>
        <v>2F</v>
      </c>
      <c r="BN27" s="16" t="str">
        <f t="shared" ca="1" si="23"/>
        <v>2F</v>
      </c>
      <c r="BO27" s="16">
        <f t="shared" ca="1" si="43"/>
        <v>0</v>
      </c>
      <c r="BP27" s="16">
        <f ca="1">COUNTIFS($BO$6:$BO$53,"&gt;"&amp;BO27,$BC$6:$BC$53,INDEX(T_Equipos[Grupo],MATCH(BD27,T_Equipos[NombreEquipo],0)))+1</f>
        <v>1</v>
      </c>
      <c r="BQ27" s="16" t="str">
        <f ca="1">IF(COUNTIFS($BP$6:$BP$53,BP27,$BC$6:$BC$53,INDEX(T_Equipos[Grupo],MATCH(BD27,T_Equipos[NombreEquipo],0)))=1,"-","P."&amp;BP27&amp;" ("&amp;COUNTIFS($BP$6:$BP$53,BP27,$BC$6:$BC$53,INDEX(T_Equipos[Grupo],MATCH(BD27,T_Equipos[NombreEquipo],0)))&amp;")")</f>
        <v>P.1 (4)</v>
      </c>
      <c r="BR27" s="16">
        <f t="shared" ca="1" si="44"/>
        <v>0</v>
      </c>
      <c r="BS27" s="16">
        <f ca="1">BP27+COUNTIFS($BQ$6:$BQ$53,BQ27,$BR$6:BR$53,"&gt;"&amp;BR27,$BC$6:$BC$53,INDEX(T_Equipos[Grupo],MATCH(BD27,T_Equipos[NombreEquipo],0)))</f>
        <v>1</v>
      </c>
      <c r="BT27" s="16" t="str">
        <f ca="1">IF(COUNTIFS($BS$6:$BS$53,BS27,$BC$6:$BC$53,INDEX(T_Equipos[Grupo],MATCH(BD27,T_Equipos[NombreEquipo],0)))=1,"-","P."&amp;BS27&amp;" ("&amp;COUNTIFS($BS$6:$BS$53,BS27,$BC$6:$BC$53,INDEX(T_Equipos[Grupo],MATCH(BD27,T_Equipos[NombreEquipo],0)))&amp;")")</f>
        <v>P.1 (4)</v>
      </c>
      <c r="BU27" s="16">
        <f t="shared" ca="1" si="24"/>
        <v>0</v>
      </c>
      <c r="BV27" s="16">
        <f t="shared" ca="1" si="25"/>
        <v>0</v>
      </c>
      <c r="BW27" s="16">
        <f t="shared" ca="1" si="26"/>
        <v>0</v>
      </c>
      <c r="BX27" s="16">
        <f t="shared" ca="1" si="48"/>
        <v>0</v>
      </c>
      <c r="BY27" s="16">
        <f ca="1">BS27+COUNTIFS($BT$6:$BT$53,BT27,$BX$6:BX$53,"&gt;"&amp;BX27,$BC$6:$BC$53,INDEX(T_Equipos[Grupo],MATCH(BD27,T_Equipos[NombreEquipo],0)))</f>
        <v>1</v>
      </c>
      <c r="BZ27" s="16" t="str">
        <f ca="1">IF(COUNTIFS($BY$6:$BY$53,BY27,$BC$6:$BC$53,INDEX(T_Equipos[Grupo],MATCH(BD27,T_Equipos[NombreEquipo],0)))=1,"-","P."&amp;BY27&amp;" ("&amp;COUNTIFS($BY$6:$BY$53,BY27,$BC$6:$BC$53,INDEX(T_Equipos[Grupo],MATCH(BD27,T_Equipos[NombreEquipo],0)))&amp;")")</f>
        <v>P.1 (4)</v>
      </c>
      <c r="CA27" s="16">
        <f t="shared" ca="1" si="27"/>
        <v>0</v>
      </c>
      <c r="CB27" s="16">
        <f t="shared" ca="1" si="28"/>
        <v>0</v>
      </c>
      <c r="CC27" s="16">
        <f t="shared" ca="1" si="49"/>
        <v>0</v>
      </c>
      <c r="CD27" s="16">
        <f ca="1">BY27+COUNTIFS($BZ$6:$BZ$53,BZ27,$CC$6:CC$53,"&gt;"&amp;CC27,$BC$6:$BC$53,INDEX(T_Equipos[Grupo],MATCH(BD27,T_Equipos[NombreEquipo],0)))</f>
        <v>1</v>
      </c>
      <c r="CE27" s="16" t="str">
        <f ca="1">IF(COUNTIFS($CD$6:$CD$53,CD27,$BC$6:$BC$53,INDEX(T_Equipos[Grupo],MATCH(BD27,T_Equipos[NombreEquipo],0)))=1,"-","P."&amp;CD27&amp;" ("&amp;COUNTIFS($CD$6:$CD$53,CD27,$BC$6:$BC$53,INDEX(T_Equipos[Grupo],MATCH(BD27,T_Equipos[NombreEquipo],0)))&amp;")")</f>
        <v>P.1 (4)</v>
      </c>
      <c r="CF27" s="16">
        <f t="shared" ca="1" si="29"/>
        <v>0</v>
      </c>
      <c r="CG27" s="16">
        <f ca="1">CD27+COUNTIFS($CE$6:$CE$53,CE27,$CF$6:CF$53,"&gt;"&amp;CF27,$BC$6:$BC$53,INDEX(T_Equipos[Grupo],MATCH(BD27,T_Equipos[NombreEquipo],0)))</f>
        <v>1</v>
      </c>
      <c r="CH27" s="16" t="str">
        <f ca="1">IF(COUNTIFS($CG$6:$CG$53,CG27,$BC$6:$BC$53,INDEX(T_Equipos[Grupo],MATCH(BD27,T_Equipos[NombreEquipo],0)))=1,"-","P."&amp;CG27&amp;" ("&amp;COUNTIFS($CG$6:$CG$53,CG27,$BC$6:$BC$53,INDEX(T_Equipos[Grupo],MATCH(BD27,T_Equipos[NombreEquipo],0)))&amp;")")</f>
        <v>P.1 (4)</v>
      </c>
      <c r="CI27" s="16">
        <f t="shared" ca="1" si="30"/>
        <v>0</v>
      </c>
      <c r="CJ27" s="16">
        <f t="shared" ca="1" si="31"/>
        <v>0</v>
      </c>
      <c r="CK27" s="16">
        <f t="shared" ca="1" si="32"/>
        <v>0</v>
      </c>
      <c r="CL27" s="16">
        <f t="shared" ca="1" si="50"/>
        <v>0</v>
      </c>
      <c r="CM27" s="16">
        <f ca="1">CG27+COUNTIFS($CH$6:$CH$53,CH27,$CL$6:CL$53,"&gt;"&amp;CL27,$BC$6:$BC$53,INDEX(T_Equipos[Grupo],MATCH(BD27,T_Equipos[NombreEquipo],0)))</f>
        <v>1</v>
      </c>
      <c r="CN27" s="16" t="str">
        <f ca="1">IF(COUNTIFS($CM$6:$CM$53,CM27,$BC$6:$BC$53,INDEX(T_Equipos[Grupo],MATCH(BD27,T_Equipos[NombreEquipo],0)))=1,"-","P."&amp;CM27&amp;" ("&amp;COUNTIFS($CM$6:$CM$53,CM27,$BC$6:$BC$53,INDEX(T_Equipos[Grupo],MATCH(BD27,T_Equipos[NombreEquipo],0)))&amp;")")</f>
        <v>P.1 (4)</v>
      </c>
      <c r="CO27" s="16">
        <f t="shared" ca="1" si="33"/>
        <v>0</v>
      </c>
      <c r="CP27" s="16">
        <f t="shared" ca="1" si="34"/>
        <v>0</v>
      </c>
      <c r="CQ27" s="16">
        <f t="shared" ca="1" si="51"/>
        <v>0</v>
      </c>
      <c r="CR27" s="16">
        <f ca="1">CM27+COUNTIFS($CN$6:$CN$53,CN27,$CQ$6:CQ$53,"&gt;"&amp;CQ27,$BC$6:$BC$53,INDEX(T_Equipos[Grupo],MATCH(BD27,T_Equipos[NombreEquipo],0)))</f>
        <v>1</v>
      </c>
      <c r="CS27" s="16" t="str">
        <f ca="1">IF(COUNTIFS($CR$6:$CR$53,CR27,$BC$6:$BC$53,INDEX(T_Equipos[Grupo],MATCH(BD27,T_Equipos[NombreEquipo],0)))=1,"-","P."&amp;CR27&amp;" ("&amp;COUNTIFS($CR$6:$CR$53,CR27,$BC$6:$BC$53,INDEX(T_Equipos[Grupo],MATCH(BD27,T_Equipos[NombreEquipo],0)))&amp;")")</f>
        <v>P.1 (4)</v>
      </c>
      <c r="CT27" s="16">
        <f t="shared" ca="1" si="35"/>
        <v>0</v>
      </c>
      <c r="CU27" s="16">
        <f ca="1">CR27+COUNTIFS($CS$6:$CS$53,CS27,$CT$6:CT$53,"&gt;"&amp;CT27,$BC$6:$BC$53,INDEX(T_Equipos[Grupo],MATCH(BD27,T_Equipos[NombreEquipo],0)))</f>
        <v>1</v>
      </c>
      <c r="CV27" s="16" t="str">
        <f ca="1">IF(COUNTIFS($CU$6:$CU$53,CU27,$BC$6:$BC$53,INDEX(T_Equipos[Grupo],MATCH(BD27,T_Equipos[NombreEquipo],0)))=1,"-","P."&amp;CU27&amp;" ("&amp;COUNTIFS($CU$6:$CU$53,CU27,$BC$6:$BC$53,INDEX(T_Equipos[Grupo],MATCH(BD27,T_Equipos[NombreEquipo],0)))&amp;")")</f>
        <v>P.1 (4)</v>
      </c>
      <c r="CW27" s="16">
        <f t="shared" ca="1" si="36"/>
        <v>0</v>
      </c>
      <c r="CX27" s="16">
        <f ca="1">CU27+COUNTIFS($CV$6:$CV$53,CV27,$CW$6:CW$53,"&gt;"&amp;CW27,$BC$6:$BC$53,INDEX(T_Equipos[Grupo],MATCH(BD27,T_Equipos[NombreEquipo],0)))</f>
        <v>1</v>
      </c>
      <c r="CY27" s="16" t="str">
        <f ca="1">IF(COUNTIFS($CX$6:$CX$53,CX27,$BC$6:$BC$53,INDEX(T_Equipos[Grupo],MATCH(BD27,T_Equipos[NombreEquipo],0)))=1,"-","P."&amp;CX27&amp;" ("&amp;COUNTIFS($CX$6:$CX$53,CX27,$BC$6:$BC$53,INDEX(T_Equipos[Grupo],MATCH(BD27,T_Equipos[NombreEquipo],0)))&amp;")")</f>
        <v>P.1 (4)</v>
      </c>
      <c r="CZ27" s="16">
        <f t="shared" ca="1" si="37"/>
        <v>0</v>
      </c>
      <c r="DA27" s="16">
        <f ca="1">CX27+COUNTIFS($CY$6:$CY$53,CY27,$CZ$6:CZ$53,"&gt;"&amp;CZ27,$BC$6:$BC$53,INDEX(T_Equipos[Grupo],MATCH(BD27,T_Equipos[NombreEquipo],0)))</f>
        <v>1</v>
      </c>
      <c r="DB27" s="16" t="str">
        <f ca="1">IF(COUNTIFS($DA$6:$DA$53,DA27,$BC$6:$BC$53,INDEX(T_Equipos[Grupo],MATCH(BD27,T_Equipos[NombreEquipo],0)))=1,"-","P."&amp;DA27&amp;" ("&amp;COUNTIFS($DA$6:$DA$53,DA27,$BC$6:$BC$53,INDEX(T_Equipos[Grupo],MATCH(BD27,T_Equipos[NombreEquipo],0)))&amp;")")</f>
        <v>P.1 (4)</v>
      </c>
      <c r="DC27" s="16">
        <f ca="1">IF(DB27="-","-",COUNTIFS(T_Equipos[Rank],"&lt;"&amp;INDEX(T_Equipos[Rank],MATCH(BD27,T_Equipos[NombreEquipo],0)),$BC$6:$BC$53,INDEX(T_Equipos[Grupo],MATCH(BD27,T_Equipos[NombreEquipo],0)))+1)</f>
        <v>2</v>
      </c>
      <c r="DD27" s="16">
        <f ca="1">DA27+COUNTIFS($DB$6:$DB$53,DB27,$DC$6:DC$53,"&lt;"&amp;DC27,$BC$6:$BC$53,INDEX(T_Equipos[Grupo],MATCH(BD27,T_Equipos[NombreEquipo],0)))</f>
        <v>2</v>
      </c>
      <c r="DE27" s="16"/>
      <c r="DF27" s="16">
        <f t="shared" ca="1" si="52"/>
        <v>2</v>
      </c>
      <c r="DG27" s="16">
        <f ca="1">IF(DB27="-","-",COUNTIFS(DF$6:DF$53,"&lt;"&amp;DF27,$BC$6:$BC$53,INDEX(T_Equipos[Grupo],MATCH(BD27,T_Equipos[NombreEquipo],0))))</f>
        <v>1</v>
      </c>
      <c r="DH27" s="16">
        <f ca="1">DA27+COUNTIFS(DB$6:DB$53,DB27,DG$6:DG$53,"&lt;"&amp;DG27,$BC$6:$BC$53,INDEX(T_Equipos[Grupo],MATCH(BD27,T_Equipos[NombreEquipo],0)))</f>
        <v>2</v>
      </c>
      <c r="DI27" s="16"/>
      <c r="DJ27" s="16">
        <f t="shared" ca="1" si="38"/>
        <v>1</v>
      </c>
      <c r="DK27" s="16">
        <f t="shared" ca="1" si="39"/>
        <v>0</v>
      </c>
      <c r="DL27" s="16">
        <f t="shared" ca="1" si="40"/>
        <v>1</v>
      </c>
      <c r="DM27" s="16" t="str">
        <f t="shared" ca="1" si="46"/>
        <v>1.1</v>
      </c>
      <c r="DN27" s="16" cm="1">
        <f t="array" aca="1" ref="DN27" ca="1">OFFSET(Horarios!$P$3,DJ27-1,0,DL27,1)</f>
        <v>1</v>
      </c>
      <c r="DO27" s="16"/>
      <c r="DP27" s="16" t="s">
        <v>676</v>
      </c>
      <c r="DQ27" s="16" t="str">
        <f t="shared" ca="1" si="47"/>
        <v>Japan</v>
      </c>
    </row>
    <row r="28" spans="1:121" ht="16" customHeight="1" thickBot="1" x14ac:dyDescent="0.25">
      <c r="A28" s="16" t="s">
        <v>32</v>
      </c>
      <c r="B28" s="16" t="s">
        <v>74</v>
      </c>
      <c r="C28" s="16">
        <f>COUNTIF(Equipos!$C$2:$C$49,WORLDCUP!B28)</f>
        <v>4</v>
      </c>
      <c r="D28" s="16" t="str">
        <f t="shared" ref="D28:D33" si="91">IF(OR(AC28="",AD28=""),"Pendiente",IF(AC28&gt;AD28,"Local",IF(AC28&lt;AD28,"Visitante","Empate")))</f>
        <v>Pendiente</v>
      </c>
      <c r="E28" s="16" t="str">
        <f t="shared" ref="E28:E33" si="92">IF(D28="Pendiente","-",INDEX($BT$6:$BT$53,MATCH($AA28,$BD$6:$BD$53,0)))</f>
        <v>-</v>
      </c>
      <c r="F28" s="16" t="str">
        <f t="shared" ref="F28:F33" si="93">IF(D28="Pendiente","-",INDEX($BT$6:$BT$53,MATCH($AF28,$BD$6:$BD$53,0)))</f>
        <v>-</v>
      </c>
      <c r="G28" s="16"/>
      <c r="H28" s="16" t="str">
        <f t="shared" ref="H28:H33" si="94">IF(D28="Pendiente","-",INDEX($BZ$6:$BZ$53,MATCH($AA28,$BD$6:$BD$53,0)))</f>
        <v>-</v>
      </c>
      <c r="I28" s="16" t="str">
        <f t="shared" ref="I28:I33" si="95">IF(D28="Pendiente","-",INDEX($BZ$6:$BZ$53,MATCH($AF28,$BD$6:$BD$53,0)))</f>
        <v>-</v>
      </c>
      <c r="J28" s="16"/>
      <c r="K28" s="16" t="str">
        <f t="shared" ref="K28:K33" si="96">IF(D28="Pendiente","-",INDEX($CE$6:$CE$53,MATCH($AA28,$BD$6:$BD$53,0)))</f>
        <v>-</v>
      </c>
      <c r="L28" s="16" t="str">
        <f t="shared" ref="L28:L33" si="97">IF(D28="Pendiente","-",INDEX($CE$6:$CE$53,MATCH($AF28,$BD$6:$BD$53,0)))</f>
        <v>-</v>
      </c>
      <c r="M28" s="16"/>
      <c r="N28" s="16" t="str">
        <f t="shared" ref="N28:N33" si="98">IF(D28="Pendiente","-",INDEX($CH$6:$CH$53,MATCH($AA28,$BD$6:$BD$53,0)))</f>
        <v>-</v>
      </c>
      <c r="O28" s="16" t="str">
        <f t="shared" ref="O28:O33" si="99">IF(D28="Pendiente","-",INDEX($CH$6:$CH$53,MATCH($AF28,$BD$6:$BD$53,0)))</f>
        <v>-</v>
      </c>
      <c r="P28" s="16"/>
      <c r="Q28" s="16" t="str">
        <f t="shared" ref="Q28:Q33" si="100">IF(D28="Pendiente","-",INDEX($CN$6:$CN$53,MATCH($AA28,$BD$6:$BD$53,0)))</f>
        <v>-</v>
      </c>
      <c r="R28" s="16" t="str">
        <f t="shared" ref="R28:R33" si="101">IF(D28="Pendiente","-",INDEX($CN$6:$CN$53,MATCH($AF28,$BD$6:$BD$53,0)))</f>
        <v>-</v>
      </c>
      <c r="S28" s="16"/>
      <c r="T28" s="16" t="str">
        <f t="shared" ref="T28:T33" si="102">IF(D28="Pendiente","-",INDEX($CS$6:$CS$53,MATCH($AA28,$BD$6:$BD$53,0)))</f>
        <v>-</v>
      </c>
      <c r="U28" s="16" t="str">
        <f t="shared" ref="U28:U33" si="103">IF(D28="Pendiente","-",INDEX($CS$6:$CS$53,MATCH($AF28,$BD$6:$BD$53,0)))</f>
        <v>-</v>
      </c>
      <c r="V28" s="17"/>
      <c r="W28" s="651" t="s">
        <v>74</v>
      </c>
      <c r="X28" s="24">
        <f ca="1">Horarios!C28</f>
        <v>46185.875</v>
      </c>
      <c r="Y28" s="25">
        <f ca="1">Horarios!C28</f>
        <v>46185.875</v>
      </c>
      <c r="Z28" s="26" t="str">
        <f>$Z$4</f>
        <v>R1</v>
      </c>
      <c r="AA28" s="27" t="str">
        <f ca="1">A29</f>
        <v>United States</v>
      </c>
      <c r="AB28" s="49" t="str" cm="1">
        <f t="array" aca="1" ref="AB28" ca="1">Ver_flag_local</f>
        <v>🇺🇸</v>
      </c>
      <c r="AC28" s="50"/>
      <c r="AD28" s="51"/>
      <c r="AE28" s="595" t="str" cm="1">
        <f t="array" aca="1" ref="AE28" ca="1">Ver_flag_visit</f>
        <v>🇵🇾</v>
      </c>
      <c r="AF28" s="32" t="str">
        <f ca="1">A30</f>
        <v>Paraguay</v>
      </c>
      <c r="AG28" s="323">
        <f t="shared" ref="AG28:AG33" si="104">IF(NOT(OR(ISBLANK(AC28),ISBLANK(AD28))),1,0)</f>
        <v>0</v>
      </c>
      <c r="AH28" s="195">
        <v>4</v>
      </c>
      <c r="AI28" s="181"/>
      <c r="AJ28" s="59" t="str">
        <f>CONCATENATE(AJ3," ",B28)</f>
        <v>Group D</v>
      </c>
      <c r="AK28" s="60"/>
      <c r="AL28" s="60"/>
      <c r="AM28" s="60"/>
      <c r="AN28" s="60"/>
      <c r="AO28" s="60"/>
      <c r="AP28" s="60"/>
      <c r="AQ28" s="60"/>
      <c r="AR28" s="60"/>
      <c r="AS28" s="60"/>
      <c r="AT28" s="61"/>
      <c r="AU28" s="331"/>
      <c r="AV28" s="286" t="str">
        <f ca="1">IF(AU29&gt;0,$AV$3,"")</f>
        <v/>
      </c>
      <c r="AW28" s="167"/>
      <c r="AX28" s="167"/>
      <c r="AY28" s="154"/>
      <c r="AZ28" s="155"/>
      <c r="BA28" s="176"/>
      <c r="BC28" s="16" t="str">
        <f ca="1">+INDEX(T_Equipos[Grupo],MATCH(WORLDCUP!BD28,T_Equipos[NombreEquipo],0))</f>
        <v>F</v>
      </c>
      <c r="BD28" s="16" t="str">
        <f ca="1">+Equipos!B24</f>
        <v>Sweden</v>
      </c>
      <c r="BE28" s="16">
        <f t="shared" ca="1" si="16"/>
        <v>0</v>
      </c>
      <c r="BF28" s="16">
        <f t="shared" ca="1" si="41"/>
        <v>0</v>
      </c>
      <c r="BG28" s="16">
        <f t="shared" ca="1" si="17"/>
        <v>0</v>
      </c>
      <c r="BH28" s="16">
        <f t="shared" ca="1" si="18"/>
        <v>0</v>
      </c>
      <c r="BI28" s="16">
        <f t="shared" ca="1" si="19"/>
        <v>0</v>
      </c>
      <c r="BJ28" s="16">
        <f t="shared" ca="1" si="20"/>
        <v>0</v>
      </c>
      <c r="BK28" s="16">
        <f t="shared" ca="1" si="21"/>
        <v>0</v>
      </c>
      <c r="BL28" s="16">
        <f t="shared" ca="1" si="42"/>
        <v>0</v>
      </c>
      <c r="BM28" s="16" t="str">
        <f t="shared" ca="1" si="22"/>
        <v>3F</v>
      </c>
      <c r="BN28" s="16" t="str">
        <f t="shared" ca="1" si="23"/>
        <v>3F</v>
      </c>
      <c r="BO28" s="16">
        <f t="shared" ca="1" si="43"/>
        <v>0</v>
      </c>
      <c r="BP28" s="16">
        <f ca="1">COUNTIFS($BO$6:$BO$53,"&gt;"&amp;BO28,$BC$6:$BC$53,INDEX(T_Equipos[Grupo],MATCH(BD28,T_Equipos[NombreEquipo],0)))+1</f>
        <v>1</v>
      </c>
      <c r="BQ28" s="16" t="str">
        <f ca="1">IF(COUNTIFS($BP$6:$BP$53,BP28,$BC$6:$BC$53,INDEX(T_Equipos[Grupo],MATCH(BD28,T_Equipos[NombreEquipo],0)))=1,"-","P."&amp;BP28&amp;" ("&amp;COUNTIFS($BP$6:$BP$53,BP28,$BC$6:$BC$53,INDEX(T_Equipos[Grupo],MATCH(BD28,T_Equipos[NombreEquipo],0)))&amp;")")</f>
        <v>P.1 (4)</v>
      </c>
      <c r="BR28" s="16">
        <f t="shared" ca="1" si="44"/>
        <v>0</v>
      </c>
      <c r="BS28" s="16">
        <f ca="1">BP28+COUNTIFS($BQ$6:$BQ$53,BQ28,$BR$6:BR$53,"&gt;"&amp;BR28,$BC$6:$BC$53,INDEX(T_Equipos[Grupo],MATCH(BD28,T_Equipos[NombreEquipo],0)))</f>
        <v>1</v>
      </c>
      <c r="BT28" s="16" t="str">
        <f ca="1">IF(COUNTIFS($BS$6:$BS$53,BS28,$BC$6:$BC$53,INDEX(T_Equipos[Grupo],MATCH(BD28,T_Equipos[NombreEquipo],0)))=1,"-","P."&amp;BS28&amp;" ("&amp;COUNTIFS($BS$6:$BS$53,BS28,$BC$6:$BC$53,INDEX(T_Equipos[Grupo],MATCH(BD28,T_Equipos[NombreEquipo],0)))&amp;")")</f>
        <v>P.1 (4)</v>
      </c>
      <c r="BU28" s="16">
        <f t="shared" ca="1" si="24"/>
        <v>0</v>
      </c>
      <c r="BV28" s="16">
        <f t="shared" ca="1" si="25"/>
        <v>0</v>
      </c>
      <c r="BW28" s="16">
        <f t="shared" ca="1" si="26"/>
        <v>0</v>
      </c>
      <c r="BX28" s="16">
        <f t="shared" ca="1" si="48"/>
        <v>0</v>
      </c>
      <c r="BY28" s="16">
        <f ca="1">BS28+COUNTIFS($BT$6:$BT$53,BT28,$BX$6:BX$53,"&gt;"&amp;BX28,$BC$6:$BC$53,INDEX(T_Equipos[Grupo],MATCH(BD28,T_Equipos[NombreEquipo],0)))</f>
        <v>1</v>
      </c>
      <c r="BZ28" s="16" t="str">
        <f ca="1">IF(COUNTIFS($BY$6:$BY$53,BY28,$BC$6:$BC$53,INDEX(T_Equipos[Grupo],MATCH(BD28,T_Equipos[NombreEquipo],0)))=1,"-","P."&amp;BY28&amp;" ("&amp;COUNTIFS($BY$6:$BY$53,BY28,$BC$6:$BC$53,INDEX(T_Equipos[Grupo],MATCH(BD28,T_Equipos[NombreEquipo],0)))&amp;")")</f>
        <v>P.1 (4)</v>
      </c>
      <c r="CA28" s="16">
        <f t="shared" ca="1" si="27"/>
        <v>0</v>
      </c>
      <c r="CB28" s="16">
        <f t="shared" ca="1" si="28"/>
        <v>0</v>
      </c>
      <c r="CC28" s="16">
        <f t="shared" ca="1" si="49"/>
        <v>0</v>
      </c>
      <c r="CD28" s="16">
        <f ca="1">BY28+COUNTIFS($BZ$6:$BZ$53,BZ28,$CC$6:CC$53,"&gt;"&amp;CC28,$BC$6:$BC$53,INDEX(T_Equipos[Grupo],MATCH(BD28,T_Equipos[NombreEquipo],0)))</f>
        <v>1</v>
      </c>
      <c r="CE28" s="16" t="str">
        <f ca="1">IF(COUNTIFS($CD$6:$CD$53,CD28,$BC$6:$BC$53,INDEX(T_Equipos[Grupo],MATCH(BD28,T_Equipos[NombreEquipo],0)))=1,"-","P."&amp;CD28&amp;" ("&amp;COUNTIFS($CD$6:$CD$53,CD28,$BC$6:$BC$53,INDEX(T_Equipos[Grupo],MATCH(BD28,T_Equipos[NombreEquipo],0)))&amp;")")</f>
        <v>P.1 (4)</v>
      </c>
      <c r="CF28" s="16">
        <f t="shared" ca="1" si="29"/>
        <v>0</v>
      </c>
      <c r="CG28" s="16">
        <f ca="1">CD28+COUNTIFS($CE$6:$CE$53,CE28,$CF$6:CF$53,"&gt;"&amp;CF28,$BC$6:$BC$53,INDEX(T_Equipos[Grupo],MATCH(BD28,T_Equipos[NombreEquipo],0)))</f>
        <v>1</v>
      </c>
      <c r="CH28" s="16" t="str">
        <f ca="1">IF(COUNTIFS($CG$6:$CG$53,CG28,$BC$6:$BC$53,INDEX(T_Equipos[Grupo],MATCH(BD28,T_Equipos[NombreEquipo],0)))=1,"-","P."&amp;CG28&amp;" ("&amp;COUNTIFS($CG$6:$CG$53,CG28,$BC$6:$BC$53,INDEX(T_Equipos[Grupo],MATCH(BD28,T_Equipos[NombreEquipo],0)))&amp;")")</f>
        <v>P.1 (4)</v>
      </c>
      <c r="CI28" s="16">
        <f t="shared" ca="1" si="30"/>
        <v>0</v>
      </c>
      <c r="CJ28" s="16">
        <f t="shared" ca="1" si="31"/>
        <v>0</v>
      </c>
      <c r="CK28" s="16">
        <f t="shared" ca="1" si="32"/>
        <v>0</v>
      </c>
      <c r="CL28" s="16">
        <f t="shared" ca="1" si="50"/>
        <v>0</v>
      </c>
      <c r="CM28" s="16">
        <f ca="1">CG28+COUNTIFS($CH$6:$CH$53,CH28,$CL$6:CL$53,"&gt;"&amp;CL28,$BC$6:$BC$53,INDEX(T_Equipos[Grupo],MATCH(BD28,T_Equipos[NombreEquipo],0)))</f>
        <v>1</v>
      </c>
      <c r="CN28" s="16" t="str">
        <f ca="1">IF(COUNTIFS($CM$6:$CM$53,CM28,$BC$6:$BC$53,INDEX(T_Equipos[Grupo],MATCH(BD28,T_Equipos[NombreEquipo],0)))=1,"-","P."&amp;CM28&amp;" ("&amp;COUNTIFS($CM$6:$CM$53,CM28,$BC$6:$BC$53,INDEX(T_Equipos[Grupo],MATCH(BD28,T_Equipos[NombreEquipo],0)))&amp;")")</f>
        <v>P.1 (4)</v>
      </c>
      <c r="CO28" s="16">
        <f t="shared" ca="1" si="33"/>
        <v>0</v>
      </c>
      <c r="CP28" s="16">
        <f t="shared" ca="1" si="34"/>
        <v>0</v>
      </c>
      <c r="CQ28" s="16">
        <f t="shared" ca="1" si="51"/>
        <v>0</v>
      </c>
      <c r="CR28" s="16">
        <f ca="1">CM28+COUNTIFS($CN$6:$CN$53,CN28,$CQ$6:CQ$53,"&gt;"&amp;CQ28,$BC$6:$BC$53,INDEX(T_Equipos[Grupo],MATCH(BD28,T_Equipos[NombreEquipo],0)))</f>
        <v>1</v>
      </c>
      <c r="CS28" s="16" t="str">
        <f ca="1">IF(COUNTIFS($CR$6:$CR$53,CR28,$BC$6:$BC$53,INDEX(T_Equipos[Grupo],MATCH(BD28,T_Equipos[NombreEquipo],0)))=1,"-","P."&amp;CR28&amp;" ("&amp;COUNTIFS($CR$6:$CR$53,CR28,$BC$6:$BC$53,INDEX(T_Equipos[Grupo],MATCH(BD28,T_Equipos[NombreEquipo],0)))&amp;")")</f>
        <v>P.1 (4)</v>
      </c>
      <c r="CT28" s="16">
        <f t="shared" ca="1" si="35"/>
        <v>0</v>
      </c>
      <c r="CU28" s="16">
        <f ca="1">CR28+COUNTIFS($CS$6:$CS$53,CS28,$CT$6:CT$53,"&gt;"&amp;CT28,$BC$6:$BC$53,INDEX(T_Equipos[Grupo],MATCH(BD28,T_Equipos[NombreEquipo],0)))</f>
        <v>1</v>
      </c>
      <c r="CV28" s="16" t="str">
        <f ca="1">IF(COUNTIFS($CU$6:$CU$53,CU28,$BC$6:$BC$53,INDEX(T_Equipos[Grupo],MATCH(BD28,T_Equipos[NombreEquipo],0)))=1,"-","P."&amp;CU28&amp;" ("&amp;COUNTIFS($CU$6:$CU$53,CU28,$BC$6:$BC$53,INDEX(T_Equipos[Grupo],MATCH(BD28,T_Equipos[NombreEquipo],0)))&amp;")")</f>
        <v>P.1 (4)</v>
      </c>
      <c r="CW28" s="16">
        <f t="shared" ca="1" si="36"/>
        <v>0</v>
      </c>
      <c r="CX28" s="16">
        <f ca="1">CU28+COUNTIFS($CV$6:$CV$53,CV28,$CW$6:CW$53,"&gt;"&amp;CW28,$BC$6:$BC$53,INDEX(T_Equipos[Grupo],MATCH(BD28,T_Equipos[NombreEquipo],0)))</f>
        <v>1</v>
      </c>
      <c r="CY28" s="16" t="str">
        <f ca="1">IF(COUNTIFS($CX$6:$CX$53,CX28,$BC$6:$BC$53,INDEX(T_Equipos[Grupo],MATCH(BD28,T_Equipos[NombreEquipo],0)))=1,"-","P."&amp;CX28&amp;" ("&amp;COUNTIFS($CX$6:$CX$53,CX28,$BC$6:$BC$53,INDEX(T_Equipos[Grupo],MATCH(BD28,T_Equipos[NombreEquipo],0)))&amp;")")</f>
        <v>P.1 (4)</v>
      </c>
      <c r="CZ28" s="16">
        <f t="shared" ca="1" si="37"/>
        <v>0</v>
      </c>
      <c r="DA28" s="16">
        <f ca="1">CX28+COUNTIFS($CY$6:$CY$53,CY28,$CZ$6:CZ$53,"&gt;"&amp;CZ28,$BC$6:$BC$53,INDEX(T_Equipos[Grupo],MATCH(BD28,T_Equipos[NombreEquipo],0)))</f>
        <v>1</v>
      </c>
      <c r="DB28" s="16" t="str">
        <f ca="1">IF(COUNTIFS($DA$6:$DA$53,DA28,$BC$6:$BC$53,INDEX(T_Equipos[Grupo],MATCH(BD28,T_Equipos[NombreEquipo],0)))=1,"-","P."&amp;DA28&amp;" ("&amp;COUNTIFS($DA$6:$DA$53,DA28,$BC$6:$BC$53,INDEX(T_Equipos[Grupo],MATCH(BD28,T_Equipos[NombreEquipo],0)))&amp;")")</f>
        <v>P.1 (4)</v>
      </c>
      <c r="DC28" s="16">
        <f ca="1">IF(DB28="-","-",COUNTIFS(T_Equipos[Rank],"&lt;"&amp;INDEX(T_Equipos[Rank],MATCH(BD28,T_Equipos[NombreEquipo],0)),$BC$6:$BC$53,INDEX(T_Equipos[Grupo],MATCH(BD28,T_Equipos[NombreEquipo],0)))+1)</f>
        <v>3</v>
      </c>
      <c r="DD28" s="16">
        <f ca="1">DA28+COUNTIFS($DB$6:$DB$53,DB28,$DC$6:DC$53,"&lt;"&amp;DC28,$BC$6:$BC$53,INDEX(T_Equipos[Grupo],MATCH(BD28,T_Equipos[NombreEquipo],0)))</f>
        <v>3</v>
      </c>
      <c r="DE28" s="16"/>
      <c r="DF28" s="16">
        <f t="shared" ca="1" si="52"/>
        <v>3</v>
      </c>
      <c r="DG28" s="16">
        <f ca="1">IF(DB28="-","-",COUNTIFS(DF$6:DF$53,"&lt;"&amp;DF28,$BC$6:$BC$53,INDEX(T_Equipos[Grupo],MATCH(BD28,T_Equipos[NombreEquipo],0))))</f>
        <v>2</v>
      </c>
      <c r="DH28" s="16">
        <f ca="1">DA28+COUNTIFS(DB$6:DB$53,DB28,DG$6:DG$53,"&lt;"&amp;DG28,$BC$6:$BC$53,INDEX(T_Equipos[Grupo],MATCH(BD28,T_Equipos[NombreEquipo],0)))</f>
        <v>3</v>
      </c>
      <c r="DI28" s="16"/>
      <c r="DJ28" s="16">
        <f t="shared" ca="1" si="38"/>
        <v>1</v>
      </c>
      <c r="DK28" s="16">
        <f t="shared" ca="1" si="39"/>
        <v>0</v>
      </c>
      <c r="DL28" s="16">
        <f t="shared" ca="1" si="40"/>
        <v>1</v>
      </c>
      <c r="DM28" s="16" t="str">
        <f t="shared" ca="1" si="46"/>
        <v>1.1</v>
      </c>
      <c r="DN28" s="16" cm="1">
        <f t="array" aca="1" ref="DN28" ca="1">OFFSET(Horarios!$P$3,DJ28-1,0,DL28,1)</f>
        <v>1</v>
      </c>
      <c r="DO28" s="16"/>
      <c r="DP28" s="16" t="s">
        <v>95</v>
      </c>
      <c r="DQ28" s="16" t="str">
        <f t="shared" ca="1" si="47"/>
        <v>Sweden</v>
      </c>
    </row>
    <row r="29" spans="1:121" ht="16" customHeight="1" x14ac:dyDescent="0.2">
      <c r="A29" s="16" t="str">
        <f ca="1">+Equipos!B14</f>
        <v>United States</v>
      </c>
      <c r="B29" s="16"/>
      <c r="C29" s="16"/>
      <c r="D29" s="16" t="str">
        <f t="shared" si="91"/>
        <v>Pendiente</v>
      </c>
      <c r="E29" s="16" t="str">
        <f t="shared" si="92"/>
        <v>-</v>
      </c>
      <c r="F29" s="16" t="str">
        <f t="shared" si="93"/>
        <v>-</v>
      </c>
      <c r="G29" s="16"/>
      <c r="H29" s="16" t="str">
        <f t="shared" si="94"/>
        <v>-</v>
      </c>
      <c r="I29" s="16" t="str">
        <f t="shared" si="95"/>
        <v>-</v>
      </c>
      <c r="J29" s="16"/>
      <c r="K29" s="16" t="str">
        <f t="shared" si="96"/>
        <v>-</v>
      </c>
      <c r="L29" s="16" t="str">
        <f t="shared" si="97"/>
        <v>-</v>
      </c>
      <c r="M29" s="16"/>
      <c r="N29" s="16" t="str">
        <f t="shared" si="98"/>
        <v>-</v>
      </c>
      <c r="O29" s="16" t="str">
        <f t="shared" si="99"/>
        <v>-</v>
      </c>
      <c r="P29" s="16"/>
      <c r="Q29" s="16" t="str">
        <f t="shared" si="100"/>
        <v>-</v>
      </c>
      <c r="R29" s="16" t="str">
        <f t="shared" si="101"/>
        <v>-</v>
      </c>
      <c r="S29" s="16"/>
      <c r="T29" s="16" t="str">
        <f t="shared" si="102"/>
        <v>-</v>
      </c>
      <c r="U29" s="16" t="str">
        <f t="shared" si="103"/>
        <v>-</v>
      </c>
      <c r="V29" s="17"/>
      <c r="W29" s="651"/>
      <c r="X29" s="24">
        <f ca="1">Horarios!C29</f>
        <v>46187</v>
      </c>
      <c r="Y29" s="25">
        <f ca="1">Horarios!C29</f>
        <v>46187</v>
      </c>
      <c r="Z29" s="26" t="str">
        <f>$Z$4</f>
        <v>R1</v>
      </c>
      <c r="AA29" s="27" t="str">
        <f ca="1">A31</f>
        <v>Australia</v>
      </c>
      <c r="AB29" s="49" t="str" cm="1">
        <f t="array" aca="1" ref="AB29" ca="1">Ver_flag_local</f>
        <v>🇦🇺</v>
      </c>
      <c r="AC29" s="50"/>
      <c r="AD29" s="51"/>
      <c r="AE29" s="595" t="str" cm="1">
        <f t="array" aca="1" ref="AE29" ca="1">Ver_flag_visit</f>
        <v>🇹🇷</v>
      </c>
      <c r="AF29" s="32" t="str">
        <f ca="1">A32</f>
        <v>Turkey</v>
      </c>
      <c r="AG29" s="323">
        <f t="shared" si="104"/>
        <v>0</v>
      </c>
      <c r="AH29" s="195">
        <v>6</v>
      </c>
      <c r="AI29" s="181"/>
      <c r="AJ29" s="62" t="str">
        <f>AJ5</f>
        <v>Pos</v>
      </c>
      <c r="AK29" s="63"/>
      <c r="AL29" s="64" t="str">
        <f t="shared" ref="AL29:AT29" si="105">AL5</f>
        <v>Nation</v>
      </c>
      <c r="AM29" s="63" t="str">
        <f t="shared" si="105"/>
        <v>Pts</v>
      </c>
      <c r="AN29" s="63" t="str">
        <f t="shared" si="105"/>
        <v>P</v>
      </c>
      <c r="AO29" s="63" t="str">
        <f t="shared" si="105"/>
        <v>W</v>
      </c>
      <c r="AP29" s="63" t="str">
        <f t="shared" si="105"/>
        <v>D</v>
      </c>
      <c r="AQ29" s="63" t="str">
        <f t="shared" si="105"/>
        <v>L</v>
      </c>
      <c r="AR29" s="63" t="str">
        <f t="shared" si="105"/>
        <v>F</v>
      </c>
      <c r="AS29" s="63" t="str">
        <f t="shared" si="105"/>
        <v>A</v>
      </c>
      <c r="AT29" s="65" t="str">
        <f t="shared" si="105"/>
        <v>GD</v>
      </c>
      <c r="AU29" s="331">
        <f t="shared" ref="AU29" ca="1" si="106">COUNTIF(AU30:AU33,"&gt;1")</f>
        <v>0</v>
      </c>
      <c r="AV29" s="192"/>
      <c r="AW29" s="167"/>
      <c r="AX29" s="167"/>
      <c r="AY29" s="207" t="str">
        <f>AL29</f>
        <v>Nation</v>
      </c>
      <c r="AZ29" s="208" t="str">
        <f>+Idiomas!$D$67</f>
        <v>Deducted Points</v>
      </c>
      <c r="BA29" s="176"/>
      <c r="BC29" s="16" t="str">
        <f ca="1">+INDEX(T_Equipos[Grupo],MATCH(WORLDCUP!BD29,T_Equipos[NombreEquipo],0))</f>
        <v>F</v>
      </c>
      <c r="BD29" s="16" t="str">
        <f ca="1">+Equipos!B25</f>
        <v>Tunisia</v>
      </c>
      <c r="BE29" s="16">
        <f t="shared" ca="1" si="16"/>
        <v>0</v>
      </c>
      <c r="BF29" s="16">
        <f t="shared" ca="1" si="41"/>
        <v>0</v>
      </c>
      <c r="BG29" s="16">
        <f t="shared" ca="1" si="17"/>
        <v>0</v>
      </c>
      <c r="BH29" s="16">
        <f t="shared" ca="1" si="18"/>
        <v>0</v>
      </c>
      <c r="BI29" s="16">
        <f t="shared" ca="1" si="19"/>
        <v>0</v>
      </c>
      <c r="BJ29" s="16">
        <f t="shared" ca="1" si="20"/>
        <v>0</v>
      </c>
      <c r="BK29" s="16">
        <f t="shared" ca="1" si="21"/>
        <v>0</v>
      </c>
      <c r="BL29" s="16">
        <f t="shared" ca="1" si="42"/>
        <v>0</v>
      </c>
      <c r="BM29" s="16" t="str">
        <f t="shared" ca="1" si="22"/>
        <v>4F</v>
      </c>
      <c r="BN29" s="16" t="str">
        <f t="shared" ca="1" si="23"/>
        <v>4F</v>
      </c>
      <c r="BO29" s="16">
        <f t="shared" ca="1" si="43"/>
        <v>0</v>
      </c>
      <c r="BP29" s="16">
        <f ca="1">COUNTIFS($BO$6:$BO$53,"&gt;"&amp;BO29,$BC$6:$BC$53,INDEX(T_Equipos[Grupo],MATCH(BD29,T_Equipos[NombreEquipo],0)))+1</f>
        <v>1</v>
      </c>
      <c r="BQ29" s="16" t="str">
        <f ca="1">IF(COUNTIFS($BP$6:$BP$53,BP29,$BC$6:$BC$53,INDEX(T_Equipos[Grupo],MATCH(BD29,T_Equipos[NombreEquipo],0)))=1,"-","P."&amp;BP29&amp;" ("&amp;COUNTIFS($BP$6:$BP$53,BP29,$BC$6:$BC$53,INDEX(T_Equipos[Grupo],MATCH(BD29,T_Equipos[NombreEquipo],0)))&amp;")")</f>
        <v>P.1 (4)</v>
      </c>
      <c r="BR29" s="16">
        <f t="shared" ca="1" si="44"/>
        <v>0</v>
      </c>
      <c r="BS29" s="16">
        <f ca="1">BP29+COUNTIFS($BQ$6:$BQ$53,BQ29,$BR$6:BR$53,"&gt;"&amp;BR29,$BC$6:$BC$53,INDEX(T_Equipos[Grupo],MATCH(BD29,T_Equipos[NombreEquipo],0)))</f>
        <v>1</v>
      </c>
      <c r="BT29" s="16" t="str">
        <f ca="1">IF(COUNTIFS($BS$6:$BS$53,BS29,$BC$6:$BC$53,INDEX(T_Equipos[Grupo],MATCH(BD29,T_Equipos[NombreEquipo],0)))=1,"-","P."&amp;BS29&amp;" ("&amp;COUNTIFS($BS$6:$BS$53,BS29,$BC$6:$BC$53,INDEX(T_Equipos[Grupo],MATCH(BD29,T_Equipos[NombreEquipo],0)))&amp;")")</f>
        <v>P.1 (4)</v>
      </c>
      <c r="BU29" s="16">
        <f t="shared" ca="1" si="24"/>
        <v>0</v>
      </c>
      <c r="BV29" s="16">
        <f t="shared" ca="1" si="25"/>
        <v>0</v>
      </c>
      <c r="BW29" s="16">
        <f t="shared" ca="1" si="26"/>
        <v>0</v>
      </c>
      <c r="BX29" s="16">
        <f t="shared" ca="1" si="48"/>
        <v>0</v>
      </c>
      <c r="BY29" s="16">
        <f ca="1">BS29+COUNTIFS($BT$6:$BT$53,BT29,$BX$6:BX$53,"&gt;"&amp;BX29,$BC$6:$BC$53,INDEX(T_Equipos[Grupo],MATCH(BD29,T_Equipos[NombreEquipo],0)))</f>
        <v>1</v>
      </c>
      <c r="BZ29" s="16" t="str">
        <f ca="1">IF(COUNTIFS($BY$6:$BY$53,BY29,$BC$6:$BC$53,INDEX(T_Equipos[Grupo],MATCH(BD29,T_Equipos[NombreEquipo],0)))=1,"-","P."&amp;BY29&amp;" ("&amp;COUNTIFS($BY$6:$BY$53,BY29,$BC$6:$BC$53,INDEX(T_Equipos[Grupo],MATCH(BD29,T_Equipos[NombreEquipo],0)))&amp;")")</f>
        <v>P.1 (4)</v>
      </c>
      <c r="CA29" s="16">
        <f t="shared" ca="1" si="27"/>
        <v>0</v>
      </c>
      <c r="CB29" s="16">
        <f t="shared" ca="1" si="28"/>
        <v>0</v>
      </c>
      <c r="CC29" s="16">
        <f t="shared" ca="1" si="49"/>
        <v>0</v>
      </c>
      <c r="CD29" s="16">
        <f ca="1">BY29+COUNTIFS($BZ$6:$BZ$53,BZ29,$CC$6:CC$53,"&gt;"&amp;CC29,$BC$6:$BC$53,INDEX(T_Equipos[Grupo],MATCH(BD29,T_Equipos[NombreEquipo],0)))</f>
        <v>1</v>
      </c>
      <c r="CE29" s="16" t="str">
        <f ca="1">IF(COUNTIFS($CD$6:$CD$53,CD29,$BC$6:$BC$53,INDEX(T_Equipos[Grupo],MATCH(BD29,T_Equipos[NombreEquipo],0)))=1,"-","P."&amp;CD29&amp;" ("&amp;COUNTIFS($CD$6:$CD$53,CD29,$BC$6:$BC$53,INDEX(T_Equipos[Grupo],MATCH(BD29,T_Equipos[NombreEquipo],0)))&amp;")")</f>
        <v>P.1 (4)</v>
      </c>
      <c r="CF29" s="16">
        <f t="shared" ca="1" si="29"/>
        <v>0</v>
      </c>
      <c r="CG29" s="16">
        <f ca="1">CD29+COUNTIFS($CE$6:$CE$53,CE29,$CF$6:CF$53,"&gt;"&amp;CF29,$BC$6:$BC$53,INDEX(T_Equipos[Grupo],MATCH(BD29,T_Equipos[NombreEquipo],0)))</f>
        <v>1</v>
      </c>
      <c r="CH29" s="16" t="str">
        <f ca="1">IF(COUNTIFS($CG$6:$CG$53,CG29,$BC$6:$BC$53,INDEX(T_Equipos[Grupo],MATCH(BD29,T_Equipos[NombreEquipo],0)))=1,"-","P."&amp;CG29&amp;" ("&amp;COUNTIFS($CG$6:$CG$53,CG29,$BC$6:$BC$53,INDEX(T_Equipos[Grupo],MATCH(BD29,T_Equipos[NombreEquipo],0)))&amp;")")</f>
        <v>P.1 (4)</v>
      </c>
      <c r="CI29" s="16">
        <f t="shared" ca="1" si="30"/>
        <v>0</v>
      </c>
      <c r="CJ29" s="16">
        <f t="shared" ca="1" si="31"/>
        <v>0</v>
      </c>
      <c r="CK29" s="16">
        <f t="shared" ca="1" si="32"/>
        <v>0</v>
      </c>
      <c r="CL29" s="16">
        <f t="shared" ca="1" si="50"/>
        <v>0</v>
      </c>
      <c r="CM29" s="16">
        <f ca="1">CG29+COUNTIFS($CH$6:$CH$53,CH29,$CL$6:CL$53,"&gt;"&amp;CL29,$BC$6:$BC$53,INDEX(T_Equipos[Grupo],MATCH(BD29,T_Equipos[NombreEquipo],0)))</f>
        <v>1</v>
      </c>
      <c r="CN29" s="16" t="str">
        <f ca="1">IF(COUNTIFS($CM$6:$CM$53,CM29,$BC$6:$BC$53,INDEX(T_Equipos[Grupo],MATCH(BD29,T_Equipos[NombreEquipo],0)))=1,"-","P."&amp;CM29&amp;" ("&amp;COUNTIFS($CM$6:$CM$53,CM29,$BC$6:$BC$53,INDEX(T_Equipos[Grupo],MATCH(BD29,T_Equipos[NombreEquipo],0)))&amp;")")</f>
        <v>P.1 (4)</v>
      </c>
      <c r="CO29" s="16">
        <f t="shared" ca="1" si="33"/>
        <v>0</v>
      </c>
      <c r="CP29" s="16">
        <f t="shared" ca="1" si="34"/>
        <v>0</v>
      </c>
      <c r="CQ29" s="16">
        <f t="shared" ca="1" si="51"/>
        <v>0</v>
      </c>
      <c r="CR29" s="16">
        <f ca="1">CM29+COUNTIFS($CN$6:$CN$53,CN29,$CQ$6:CQ$53,"&gt;"&amp;CQ29,$BC$6:$BC$53,INDEX(T_Equipos[Grupo],MATCH(BD29,T_Equipos[NombreEquipo],0)))</f>
        <v>1</v>
      </c>
      <c r="CS29" s="16" t="str">
        <f ca="1">IF(COUNTIFS($CR$6:$CR$53,CR29,$BC$6:$BC$53,INDEX(T_Equipos[Grupo],MATCH(BD29,T_Equipos[NombreEquipo],0)))=1,"-","P."&amp;CR29&amp;" ("&amp;COUNTIFS($CR$6:$CR$53,CR29,$BC$6:$BC$53,INDEX(T_Equipos[Grupo],MATCH(BD29,T_Equipos[NombreEquipo],0)))&amp;")")</f>
        <v>P.1 (4)</v>
      </c>
      <c r="CT29" s="16">
        <f t="shared" ca="1" si="35"/>
        <v>0</v>
      </c>
      <c r="CU29" s="16">
        <f ca="1">CR29+COUNTIFS($CS$6:$CS$53,CS29,$CT$6:CT$53,"&gt;"&amp;CT29,$BC$6:$BC$53,INDEX(T_Equipos[Grupo],MATCH(BD29,T_Equipos[NombreEquipo],0)))</f>
        <v>1</v>
      </c>
      <c r="CV29" s="16" t="str">
        <f ca="1">IF(COUNTIFS($CU$6:$CU$53,CU29,$BC$6:$BC$53,INDEX(T_Equipos[Grupo],MATCH(BD29,T_Equipos[NombreEquipo],0)))=1,"-","P."&amp;CU29&amp;" ("&amp;COUNTIFS($CU$6:$CU$53,CU29,$BC$6:$BC$53,INDEX(T_Equipos[Grupo],MATCH(BD29,T_Equipos[NombreEquipo],0)))&amp;")")</f>
        <v>P.1 (4)</v>
      </c>
      <c r="CW29" s="16">
        <f t="shared" ca="1" si="36"/>
        <v>0</v>
      </c>
      <c r="CX29" s="16">
        <f ca="1">CU29+COUNTIFS($CV$6:$CV$53,CV29,$CW$6:CW$53,"&gt;"&amp;CW29,$BC$6:$BC$53,INDEX(T_Equipos[Grupo],MATCH(BD29,T_Equipos[NombreEquipo],0)))</f>
        <v>1</v>
      </c>
      <c r="CY29" s="16" t="str">
        <f ca="1">IF(COUNTIFS($CX$6:$CX$53,CX29,$BC$6:$BC$53,INDEX(T_Equipos[Grupo],MATCH(BD29,T_Equipos[NombreEquipo],0)))=1,"-","P."&amp;CX29&amp;" ("&amp;COUNTIFS($CX$6:$CX$53,CX29,$BC$6:$BC$53,INDEX(T_Equipos[Grupo],MATCH(BD29,T_Equipos[NombreEquipo],0)))&amp;")")</f>
        <v>P.1 (4)</v>
      </c>
      <c r="CZ29" s="16">
        <f t="shared" ca="1" si="37"/>
        <v>0</v>
      </c>
      <c r="DA29" s="16">
        <f ca="1">CX29+COUNTIFS($CY$6:$CY$53,CY29,$CZ$6:CZ$53,"&gt;"&amp;CZ29,$BC$6:$BC$53,INDEX(T_Equipos[Grupo],MATCH(BD29,T_Equipos[NombreEquipo],0)))</f>
        <v>1</v>
      </c>
      <c r="DB29" s="16" t="str">
        <f ca="1">IF(COUNTIFS($DA$6:$DA$53,DA29,$BC$6:$BC$53,INDEX(T_Equipos[Grupo],MATCH(BD29,T_Equipos[NombreEquipo],0)))=1,"-","P."&amp;DA29&amp;" ("&amp;COUNTIFS($DA$6:$DA$53,DA29,$BC$6:$BC$53,INDEX(T_Equipos[Grupo],MATCH(BD29,T_Equipos[NombreEquipo],0)))&amp;")")</f>
        <v>P.1 (4)</v>
      </c>
      <c r="DC29" s="16">
        <f ca="1">IF(DB29="-","-",COUNTIFS(T_Equipos[Rank],"&lt;"&amp;INDEX(T_Equipos[Rank],MATCH(BD29,T_Equipos[NombreEquipo],0)),$BC$6:$BC$53,INDEX(T_Equipos[Grupo],MATCH(BD29,T_Equipos[NombreEquipo],0)))+1)</f>
        <v>4</v>
      </c>
      <c r="DD29" s="16">
        <f ca="1">DA29+COUNTIFS($DB$6:$DB$53,DB29,$DC$6:DC$53,"&lt;"&amp;DC29,$BC$6:$BC$53,INDEX(T_Equipos[Grupo],MATCH(BD29,T_Equipos[NombreEquipo],0)))</f>
        <v>4</v>
      </c>
      <c r="DE29" s="16"/>
      <c r="DF29" s="16">
        <f t="shared" ca="1" si="52"/>
        <v>4</v>
      </c>
      <c r="DG29" s="16">
        <f ca="1">IF(DB29="-","-",COUNTIFS(DF$6:DF$53,"&lt;"&amp;DF29,$BC$6:$BC$53,INDEX(T_Equipos[Grupo],MATCH(BD29,T_Equipos[NombreEquipo],0))))</f>
        <v>3</v>
      </c>
      <c r="DH29" s="16">
        <f ca="1">DA29+COUNTIFS(DB$6:DB$53,DB29,DG$6:DG$53,"&lt;"&amp;DG29,$BC$6:$BC$53,INDEX(T_Equipos[Grupo],MATCH(BD29,T_Equipos[NombreEquipo],0)))</f>
        <v>4</v>
      </c>
      <c r="DI29" s="16"/>
      <c r="DJ29" s="16">
        <f t="shared" ca="1" si="38"/>
        <v>1</v>
      </c>
      <c r="DK29" s="16">
        <f t="shared" ca="1" si="39"/>
        <v>0</v>
      </c>
      <c r="DL29" s="16">
        <f t="shared" ca="1" si="40"/>
        <v>1</v>
      </c>
      <c r="DM29" s="16" t="str">
        <f t="shared" ca="1" si="46"/>
        <v>1.1</v>
      </c>
      <c r="DN29" s="16" cm="1">
        <f t="array" aca="1" ref="DN29" ca="1">OFFSET(Horarios!$P$3,DJ29-1,0,DL29,1)</f>
        <v>1</v>
      </c>
      <c r="DO29" s="16"/>
      <c r="DP29" s="16" t="s">
        <v>677</v>
      </c>
      <c r="DQ29" s="16" t="str">
        <f t="shared" ca="1" si="47"/>
        <v>Tunisia</v>
      </c>
    </row>
    <row r="30" spans="1:121" ht="16" customHeight="1" x14ac:dyDescent="0.2">
      <c r="A30" s="16" t="str">
        <f ca="1">+Equipos!B15</f>
        <v>Paraguay</v>
      </c>
      <c r="B30" s="16"/>
      <c r="C30" s="16"/>
      <c r="D30" s="16" t="str">
        <f t="shared" si="91"/>
        <v>Pendiente</v>
      </c>
      <c r="E30" s="16" t="str">
        <f t="shared" si="92"/>
        <v>-</v>
      </c>
      <c r="F30" s="16" t="str">
        <f t="shared" si="93"/>
        <v>-</v>
      </c>
      <c r="G30" s="16"/>
      <c r="H30" s="16" t="str">
        <f t="shared" si="94"/>
        <v>-</v>
      </c>
      <c r="I30" s="16" t="str">
        <f t="shared" si="95"/>
        <v>-</v>
      </c>
      <c r="J30" s="16"/>
      <c r="K30" s="16" t="str">
        <f t="shared" si="96"/>
        <v>-</v>
      </c>
      <c r="L30" s="16" t="str">
        <f t="shared" si="97"/>
        <v>-</v>
      </c>
      <c r="M30" s="16"/>
      <c r="N30" s="16" t="str">
        <f t="shared" si="98"/>
        <v>-</v>
      </c>
      <c r="O30" s="16" t="str">
        <f t="shared" si="99"/>
        <v>-</v>
      </c>
      <c r="P30" s="16"/>
      <c r="Q30" s="16" t="str">
        <f t="shared" si="100"/>
        <v>-</v>
      </c>
      <c r="R30" s="16" t="str">
        <f t="shared" si="101"/>
        <v>-</v>
      </c>
      <c r="S30" s="16"/>
      <c r="T30" s="16" t="str">
        <f t="shared" si="102"/>
        <v>-</v>
      </c>
      <c r="U30" s="16" t="str">
        <f t="shared" si="103"/>
        <v>-</v>
      </c>
      <c r="V30" s="17"/>
      <c r="W30" s="651"/>
      <c r="X30" s="24">
        <f ca="1">Horarios!C30</f>
        <v>46192.625</v>
      </c>
      <c r="Y30" s="25">
        <f ca="1">Horarios!C30</f>
        <v>46192.625</v>
      </c>
      <c r="Z30" s="26" t="str">
        <f>$Z$6</f>
        <v>R2</v>
      </c>
      <c r="AA30" s="27" t="str">
        <f ca="1">A29</f>
        <v>United States</v>
      </c>
      <c r="AB30" s="49" t="str" cm="1">
        <f t="array" aca="1" ref="AB30" ca="1">Ver_flag_local</f>
        <v>🇺🇸</v>
      </c>
      <c r="AC30" s="50"/>
      <c r="AD30" s="51"/>
      <c r="AE30" s="595" t="str" cm="1">
        <f t="array" aca="1" ref="AE30" ca="1">Ver_flag_visit</f>
        <v>🇦🇺</v>
      </c>
      <c r="AF30" s="32" t="str">
        <f ca="1">A31</f>
        <v>Australia</v>
      </c>
      <c r="AG30" s="323">
        <f t="shared" si="104"/>
        <v>0</v>
      </c>
      <c r="AH30" s="195">
        <v>32</v>
      </c>
      <c r="AI30" s="181" t="str">
        <f>AJ30&amp;$B$28</f>
        <v>1D</v>
      </c>
      <c r="AJ30" s="40">
        <v>1</v>
      </c>
      <c r="AK30" s="601" t="str" cm="1">
        <f t="array" aca="1" ref="AK30" ca="1">Ver_flag_visit</f>
        <v>🇺🇸</v>
      </c>
      <c r="AL30" s="34" t="str">
        <f ca="1">IFERROR(INDEX($BD$6:$BD$53,MATCH(AI30,$BN$6:$BN$53,0)),"")</f>
        <v>United States</v>
      </c>
      <c r="AM30" s="35">
        <f t="shared" ref="AM30:AT33" ca="1" si="107">INDEX($BE$6:$BN$53,MATCH($AL30,$BD$6:$BD$53,0),MATCH(AM$5,$BE$5:$BN$5,0))</f>
        <v>0</v>
      </c>
      <c r="AN30" s="36">
        <f t="shared" ca="1" si="107"/>
        <v>0</v>
      </c>
      <c r="AO30" s="36">
        <f t="shared" ca="1" si="107"/>
        <v>0</v>
      </c>
      <c r="AP30" s="36">
        <f t="shared" ca="1" si="107"/>
        <v>0</v>
      </c>
      <c r="AQ30" s="36">
        <f t="shared" ca="1" si="107"/>
        <v>0</v>
      </c>
      <c r="AR30" s="36">
        <f t="shared" ca="1" si="107"/>
        <v>0</v>
      </c>
      <c r="AS30" s="36">
        <f t="shared" ca="1" si="107"/>
        <v>0</v>
      </c>
      <c r="AT30" s="41">
        <f t="shared" ca="1" si="107"/>
        <v>0</v>
      </c>
      <c r="AU30" s="330">
        <f ca="1">INDEX($DL$6:$DL$53,MATCH(AI30,$DP$6:$DP$53,0))</f>
        <v>1</v>
      </c>
      <c r="AV30" s="182" t="str">
        <f ca="1">INDEX($BD$6:$BD$53,MATCH(AI30,$BM$6:$BM$53,0))</f>
        <v>United States</v>
      </c>
      <c r="AW30" s="210"/>
      <c r="AX30" s="171"/>
      <c r="AY30" s="201" t="str">
        <f ca="1">+A29</f>
        <v>United States</v>
      </c>
      <c r="AZ30" s="202"/>
      <c r="BA30" s="176"/>
      <c r="BC30" s="16" t="str">
        <f ca="1">+INDEX(T_Equipos[Grupo],MATCH(WORLDCUP!BD30,T_Equipos[NombreEquipo],0))</f>
        <v>G</v>
      </c>
      <c r="BD30" s="16" t="str">
        <f ca="1">+Equipos!B26</f>
        <v>Belgium</v>
      </c>
      <c r="BE30" s="16">
        <f t="shared" ca="1" si="16"/>
        <v>0</v>
      </c>
      <c r="BF30" s="16">
        <f t="shared" ca="1" si="41"/>
        <v>0</v>
      </c>
      <c r="BG30" s="16">
        <f t="shared" ca="1" si="17"/>
        <v>0</v>
      </c>
      <c r="BH30" s="16">
        <f t="shared" ca="1" si="18"/>
        <v>0</v>
      </c>
      <c r="BI30" s="16">
        <f t="shared" ca="1" si="19"/>
        <v>0</v>
      </c>
      <c r="BJ30" s="16">
        <f t="shared" ca="1" si="20"/>
        <v>0</v>
      </c>
      <c r="BK30" s="16">
        <f t="shared" ca="1" si="21"/>
        <v>0</v>
      </c>
      <c r="BL30" s="16">
        <f t="shared" ca="1" si="42"/>
        <v>0</v>
      </c>
      <c r="BM30" s="16" t="str">
        <f t="shared" ca="1" si="22"/>
        <v>1G</v>
      </c>
      <c r="BN30" s="16" t="str">
        <f t="shared" ca="1" si="23"/>
        <v>1G</v>
      </c>
      <c r="BO30" s="16">
        <f t="shared" ca="1" si="43"/>
        <v>0</v>
      </c>
      <c r="BP30" s="16">
        <f ca="1">COUNTIFS($BO$6:$BO$53,"&gt;"&amp;BO30,$BC$6:$BC$53,INDEX(T_Equipos[Grupo],MATCH(BD30,T_Equipos[NombreEquipo],0)))+1</f>
        <v>1</v>
      </c>
      <c r="BQ30" s="16" t="str">
        <f ca="1">IF(COUNTIFS($BP$6:$BP$53,BP30,$BC$6:$BC$53,INDEX(T_Equipos[Grupo],MATCH(BD30,T_Equipos[NombreEquipo],0)))=1,"-","P."&amp;BP30&amp;" ("&amp;COUNTIFS($BP$6:$BP$53,BP30,$BC$6:$BC$53,INDEX(T_Equipos[Grupo],MATCH(BD30,T_Equipos[NombreEquipo],0)))&amp;")")</f>
        <v>P.1 (4)</v>
      </c>
      <c r="BR30" s="16">
        <f t="shared" ca="1" si="44"/>
        <v>0</v>
      </c>
      <c r="BS30" s="16">
        <f ca="1">BP30+COUNTIFS($BQ$6:$BQ$53,BQ30,$BR$6:BR$53,"&gt;"&amp;BR30,$BC$6:$BC$53,INDEX(T_Equipos[Grupo],MATCH(BD30,T_Equipos[NombreEquipo],0)))</f>
        <v>1</v>
      </c>
      <c r="BT30" s="16" t="str">
        <f ca="1">IF(COUNTIFS($BS$6:$BS$53,BS30,$BC$6:$BC$53,INDEX(T_Equipos[Grupo],MATCH(BD30,T_Equipos[NombreEquipo],0)))=1,"-","P."&amp;BS30&amp;" ("&amp;COUNTIFS($BS$6:$BS$53,BS30,$BC$6:$BC$53,INDEX(T_Equipos[Grupo],MATCH(BD30,T_Equipos[NombreEquipo],0)))&amp;")")</f>
        <v>P.1 (4)</v>
      </c>
      <c r="BU30" s="16">
        <f t="shared" ca="1" si="24"/>
        <v>0</v>
      </c>
      <c r="BV30" s="16">
        <f t="shared" ca="1" si="25"/>
        <v>0</v>
      </c>
      <c r="BW30" s="16">
        <f t="shared" ca="1" si="26"/>
        <v>0</v>
      </c>
      <c r="BX30" s="16">
        <f t="shared" ca="1" si="48"/>
        <v>0</v>
      </c>
      <c r="BY30" s="16">
        <f ca="1">BS30+COUNTIFS($BT$6:$BT$53,BT30,$BX$6:BX$53,"&gt;"&amp;BX30,$BC$6:$BC$53,INDEX(T_Equipos[Grupo],MATCH(BD30,T_Equipos[NombreEquipo],0)))</f>
        <v>1</v>
      </c>
      <c r="BZ30" s="16" t="str">
        <f ca="1">IF(COUNTIFS($BY$6:$BY$53,BY30,$BC$6:$BC$53,INDEX(T_Equipos[Grupo],MATCH(BD30,T_Equipos[NombreEquipo],0)))=1,"-","P."&amp;BY30&amp;" ("&amp;COUNTIFS($BY$6:$BY$53,BY30,$BC$6:$BC$53,INDEX(T_Equipos[Grupo],MATCH(BD30,T_Equipos[NombreEquipo],0)))&amp;")")</f>
        <v>P.1 (4)</v>
      </c>
      <c r="CA30" s="16">
        <f t="shared" ca="1" si="27"/>
        <v>0</v>
      </c>
      <c r="CB30" s="16">
        <f t="shared" ca="1" si="28"/>
        <v>0</v>
      </c>
      <c r="CC30" s="16">
        <f t="shared" ca="1" si="49"/>
        <v>0</v>
      </c>
      <c r="CD30" s="16">
        <f ca="1">BY30+COUNTIFS($BZ$6:$BZ$53,BZ30,$CC$6:CC$53,"&gt;"&amp;CC30,$BC$6:$BC$53,INDEX(T_Equipos[Grupo],MATCH(BD30,T_Equipos[NombreEquipo],0)))</f>
        <v>1</v>
      </c>
      <c r="CE30" s="16" t="str">
        <f ca="1">IF(COUNTIFS($CD$6:$CD$53,CD30,$BC$6:$BC$53,INDEX(T_Equipos[Grupo],MATCH(BD30,T_Equipos[NombreEquipo],0)))=1,"-","P."&amp;CD30&amp;" ("&amp;COUNTIFS($CD$6:$CD$53,CD30,$BC$6:$BC$53,INDEX(T_Equipos[Grupo],MATCH(BD30,T_Equipos[NombreEquipo],0)))&amp;")")</f>
        <v>P.1 (4)</v>
      </c>
      <c r="CF30" s="16">
        <f t="shared" ca="1" si="29"/>
        <v>0</v>
      </c>
      <c r="CG30" s="16">
        <f ca="1">CD30+COUNTIFS($CE$6:$CE$53,CE30,$CF$6:CF$53,"&gt;"&amp;CF30,$BC$6:$BC$53,INDEX(T_Equipos[Grupo],MATCH(BD30,T_Equipos[NombreEquipo],0)))</f>
        <v>1</v>
      </c>
      <c r="CH30" s="16" t="str">
        <f ca="1">IF(COUNTIFS($CG$6:$CG$53,CG30,$BC$6:$BC$53,INDEX(T_Equipos[Grupo],MATCH(BD30,T_Equipos[NombreEquipo],0)))=1,"-","P."&amp;CG30&amp;" ("&amp;COUNTIFS($CG$6:$CG$53,CG30,$BC$6:$BC$53,INDEX(T_Equipos[Grupo],MATCH(BD30,T_Equipos[NombreEquipo],0)))&amp;")")</f>
        <v>P.1 (4)</v>
      </c>
      <c r="CI30" s="16">
        <f t="shared" ca="1" si="30"/>
        <v>0</v>
      </c>
      <c r="CJ30" s="16">
        <f t="shared" ca="1" si="31"/>
        <v>0</v>
      </c>
      <c r="CK30" s="16">
        <f t="shared" ca="1" si="32"/>
        <v>0</v>
      </c>
      <c r="CL30" s="16">
        <f t="shared" ca="1" si="50"/>
        <v>0</v>
      </c>
      <c r="CM30" s="16">
        <f ca="1">CG30+COUNTIFS($CH$6:$CH$53,CH30,$CL$6:CL$53,"&gt;"&amp;CL30,$BC$6:$BC$53,INDEX(T_Equipos[Grupo],MATCH(BD30,T_Equipos[NombreEquipo],0)))</f>
        <v>1</v>
      </c>
      <c r="CN30" s="16" t="str">
        <f ca="1">IF(COUNTIFS($CM$6:$CM$53,CM30,$BC$6:$BC$53,INDEX(T_Equipos[Grupo],MATCH(BD30,T_Equipos[NombreEquipo],0)))=1,"-","P."&amp;CM30&amp;" ("&amp;COUNTIFS($CM$6:$CM$53,CM30,$BC$6:$BC$53,INDEX(T_Equipos[Grupo],MATCH(BD30,T_Equipos[NombreEquipo],0)))&amp;")")</f>
        <v>P.1 (4)</v>
      </c>
      <c r="CO30" s="16">
        <f t="shared" ca="1" si="33"/>
        <v>0</v>
      </c>
      <c r="CP30" s="16">
        <f t="shared" ca="1" si="34"/>
        <v>0</v>
      </c>
      <c r="CQ30" s="16">
        <f t="shared" ca="1" si="51"/>
        <v>0</v>
      </c>
      <c r="CR30" s="16">
        <f ca="1">CM30+COUNTIFS($CN$6:$CN$53,CN30,$CQ$6:CQ$53,"&gt;"&amp;CQ30,$BC$6:$BC$53,INDEX(T_Equipos[Grupo],MATCH(BD30,T_Equipos[NombreEquipo],0)))</f>
        <v>1</v>
      </c>
      <c r="CS30" s="16" t="str">
        <f ca="1">IF(COUNTIFS($CR$6:$CR$53,CR30,$BC$6:$BC$53,INDEX(T_Equipos[Grupo],MATCH(BD30,T_Equipos[NombreEquipo],0)))=1,"-","P."&amp;CR30&amp;" ("&amp;COUNTIFS($CR$6:$CR$53,CR30,$BC$6:$BC$53,INDEX(T_Equipos[Grupo],MATCH(BD30,T_Equipos[NombreEquipo],0)))&amp;")")</f>
        <v>P.1 (4)</v>
      </c>
      <c r="CT30" s="16">
        <f t="shared" ca="1" si="35"/>
        <v>0</v>
      </c>
      <c r="CU30" s="16">
        <f ca="1">CR30+COUNTIFS($CS$6:$CS$53,CS30,$CT$6:CT$53,"&gt;"&amp;CT30,$BC$6:$BC$53,INDEX(T_Equipos[Grupo],MATCH(BD30,T_Equipos[NombreEquipo],0)))</f>
        <v>1</v>
      </c>
      <c r="CV30" s="16" t="str">
        <f ca="1">IF(COUNTIFS($CU$6:$CU$53,CU30,$BC$6:$BC$53,INDEX(T_Equipos[Grupo],MATCH(BD30,T_Equipos[NombreEquipo],0)))=1,"-","P."&amp;CU30&amp;" ("&amp;COUNTIFS($CU$6:$CU$53,CU30,$BC$6:$BC$53,INDEX(T_Equipos[Grupo],MATCH(BD30,T_Equipos[NombreEquipo],0)))&amp;")")</f>
        <v>P.1 (4)</v>
      </c>
      <c r="CW30" s="16">
        <f t="shared" ca="1" si="36"/>
        <v>0</v>
      </c>
      <c r="CX30" s="16">
        <f ca="1">CU30+COUNTIFS($CV$6:$CV$53,CV30,$CW$6:CW$53,"&gt;"&amp;CW30,$BC$6:$BC$53,INDEX(T_Equipos[Grupo],MATCH(BD30,T_Equipos[NombreEquipo],0)))</f>
        <v>1</v>
      </c>
      <c r="CY30" s="16" t="str">
        <f ca="1">IF(COUNTIFS($CX$6:$CX$53,CX30,$BC$6:$BC$53,INDEX(T_Equipos[Grupo],MATCH(BD30,T_Equipos[NombreEquipo],0)))=1,"-","P."&amp;CX30&amp;" ("&amp;COUNTIFS($CX$6:$CX$53,CX30,$BC$6:$BC$53,INDEX(T_Equipos[Grupo],MATCH(BD30,T_Equipos[NombreEquipo],0)))&amp;")")</f>
        <v>P.1 (4)</v>
      </c>
      <c r="CZ30" s="16">
        <f t="shared" ca="1" si="37"/>
        <v>0</v>
      </c>
      <c r="DA30" s="16">
        <f ca="1">CX30+COUNTIFS($CY$6:$CY$53,CY30,$CZ$6:CZ$53,"&gt;"&amp;CZ30,$BC$6:$BC$53,INDEX(T_Equipos[Grupo],MATCH(BD30,T_Equipos[NombreEquipo],0)))</f>
        <v>1</v>
      </c>
      <c r="DB30" s="16" t="str">
        <f ca="1">IF(COUNTIFS($DA$6:$DA$53,DA30,$BC$6:$BC$53,INDEX(T_Equipos[Grupo],MATCH(BD30,T_Equipos[NombreEquipo],0)))=1,"-","P."&amp;DA30&amp;" ("&amp;COUNTIFS($DA$6:$DA$53,DA30,$BC$6:$BC$53,INDEX(T_Equipos[Grupo],MATCH(BD30,T_Equipos[NombreEquipo],0)))&amp;")")</f>
        <v>P.1 (4)</v>
      </c>
      <c r="DC30" s="16">
        <f ca="1">IF(DB30="-","-",COUNTIFS(T_Equipos[Rank],"&lt;"&amp;INDEX(T_Equipos[Rank],MATCH(BD30,T_Equipos[NombreEquipo],0)),$BC$6:$BC$53,INDEX(T_Equipos[Grupo],MATCH(BD30,T_Equipos[NombreEquipo],0)))+1)</f>
        <v>1</v>
      </c>
      <c r="DD30" s="16">
        <f ca="1">DA30+COUNTIFS($DB$6:$DB$53,DB30,$DC$6:DC$53,"&lt;"&amp;DC30,$BC$6:$BC$53,INDEX(T_Equipos[Grupo],MATCH(BD30,T_Equipos[NombreEquipo],0)))</f>
        <v>1</v>
      </c>
      <c r="DE30" s="16"/>
      <c r="DF30" s="16">
        <f t="shared" ca="1" si="52"/>
        <v>1</v>
      </c>
      <c r="DG30" s="16">
        <f ca="1">IF(DB30="-","-",COUNTIFS(DF$6:DF$53,"&lt;"&amp;DF30,$BC$6:$BC$53,INDEX(T_Equipos[Grupo],MATCH(BD30,T_Equipos[NombreEquipo],0))))</f>
        <v>0</v>
      </c>
      <c r="DH30" s="16">
        <f ca="1">DA30+COUNTIFS(DB$6:DB$53,DB30,DG$6:DG$53,"&lt;"&amp;DG30,$BC$6:$BC$53,INDEX(T_Equipos[Grupo],MATCH(BD30,T_Equipos[NombreEquipo],0)))</f>
        <v>1</v>
      </c>
      <c r="DI30" s="16"/>
      <c r="DJ30" s="16">
        <f t="shared" ca="1" si="38"/>
        <v>1</v>
      </c>
      <c r="DK30" s="16">
        <f t="shared" ca="1" si="39"/>
        <v>0</v>
      </c>
      <c r="DL30" s="16">
        <f t="shared" ca="1" si="40"/>
        <v>1</v>
      </c>
      <c r="DM30" s="16" t="str">
        <f t="shared" ca="1" si="46"/>
        <v>1.1</v>
      </c>
      <c r="DN30" s="16" cm="1">
        <f t="array" aca="1" ref="DN30" ca="1">OFFSET(Horarios!$P$3,DJ30-1,0,DL30,1)</f>
        <v>1</v>
      </c>
      <c r="DO30" s="16"/>
      <c r="DP30" s="16" t="s">
        <v>678</v>
      </c>
      <c r="DQ30" s="16" t="str">
        <f t="shared" ca="1" si="47"/>
        <v>Belgium</v>
      </c>
    </row>
    <row r="31" spans="1:121" ht="16" customHeight="1" x14ac:dyDescent="0.2">
      <c r="A31" s="16" t="str">
        <f ca="1">+Equipos!B16</f>
        <v>Australia</v>
      </c>
      <c r="B31" s="16"/>
      <c r="C31" s="16"/>
      <c r="D31" s="16" t="str">
        <f t="shared" si="91"/>
        <v>Pendiente</v>
      </c>
      <c r="E31" s="16" t="str">
        <f t="shared" si="92"/>
        <v>-</v>
      </c>
      <c r="F31" s="16" t="str">
        <f t="shared" si="93"/>
        <v>-</v>
      </c>
      <c r="G31" s="16"/>
      <c r="H31" s="16" t="str">
        <f t="shared" si="94"/>
        <v>-</v>
      </c>
      <c r="I31" s="16" t="str">
        <f t="shared" si="95"/>
        <v>-</v>
      </c>
      <c r="J31" s="16"/>
      <c r="K31" s="16" t="str">
        <f t="shared" si="96"/>
        <v>-</v>
      </c>
      <c r="L31" s="16" t="str">
        <f t="shared" si="97"/>
        <v>-</v>
      </c>
      <c r="M31" s="16"/>
      <c r="N31" s="16" t="str">
        <f t="shared" si="98"/>
        <v>-</v>
      </c>
      <c r="O31" s="16" t="str">
        <f t="shared" si="99"/>
        <v>-</v>
      </c>
      <c r="P31" s="16"/>
      <c r="Q31" s="16" t="str">
        <f t="shared" si="100"/>
        <v>-</v>
      </c>
      <c r="R31" s="16" t="str">
        <f t="shared" si="101"/>
        <v>-</v>
      </c>
      <c r="S31" s="16"/>
      <c r="T31" s="16" t="str">
        <f t="shared" si="102"/>
        <v>-</v>
      </c>
      <c r="U31" s="16" t="str">
        <f t="shared" si="103"/>
        <v>-</v>
      </c>
      <c r="V31" s="17"/>
      <c r="W31" s="651"/>
      <c r="X31" s="24">
        <f ca="1">Horarios!C31</f>
        <v>46192.958333333336</v>
      </c>
      <c r="Y31" s="25">
        <f ca="1">Horarios!C31</f>
        <v>46192.958333333336</v>
      </c>
      <c r="Z31" s="26" t="str">
        <f>$Z$6</f>
        <v>R2</v>
      </c>
      <c r="AA31" s="27" t="str">
        <f ca="1">A32</f>
        <v>Turkey</v>
      </c>
      <c r="AB31" s="49" t="str" cm="1">
        <f t="array" aca="1" ref="AB31" ca="1">Ver_flag_local</f>
        <v>🇹🇷</v>
      </c>
      <c r="AC31" s="50"/>
      <c r="AD31" s="51"/>
      <c r="AE31" s="595" t="str" cm="1">
        <f t="array" aca="1" ref="AE31" ca="1">Ver_flag_visit</f>
        <v>🇵🇾</v>
      </c>
      <c r="AF31" s="32" t="str">
        <f ca="1">A30</f>
        <v>Paraguay</v>
      </c>
      <c r="AG31" s="323">
        <f t="shared" si="104"/>
        <v>0</v>
      </c>
      <c r="AH31" s="195">
        <v>31</v>
      </c>
      <c r="AI31" s="181" t="str">
        <f t="shared" ref="AI31:AI33" si="108">AJ31&amp;$B$28</f>
        <v>2D</v>
      </c>
      <c r="AJ31" s="42">
        <v>2</v>
      </c>
      <c r="AK31" s="602" t="str" cm="1">
        <f t="array" aca="1" ref="AK31" ca="1">Ver_flag_visit</f>
        <v>🇵🇾</v>
      </c>
      <c r="AL31" s="37" t="str">
        <f ca="1">IFERROR(INDEX($BD$6:$BD$53,MATCH(AI31,$BN$6:$BN$53,0)),"")</f>
        <v>Paraguay</v>
      </c>
      <c r="AM31" s="38">
        <f t="shared" ca="1" si="107"/>
        <v>0</v>
      </c>
      <c r="AN31" s="39">
        <f t="shared" ca="1" si="107"/>
        <v>0</v>
      </c>
      <c r="AO31" s="39">
        <f t="shared" ca="1" si="107"/>
        <v>0</v>
      </c>
      <c r="AP31" s="39">
        <f t="shared" ca="1" si="107"/>
        <v>0</v>
      </c>
      <c r="AQ31" s="39">
        <f t="shared" ca="1" si="107"/>
        <v>0</v>
      </c>
      <c r="AR31" s="39">
        <f t="shared" ca="1" si="107"/>
        <v>0</v>
      </c>
      <c r="AS31" s="39">
        <f t="shared" ca="1" si="107"/>
        <v>0</v>
      </c>
      <c r="AT31" s="43">
        <f t="shared" ca="1" si="107"/>
        <v>0</v>
      </c>
      <c r="AU31" s="330">
        <f ca="1">INDEX($DL$6:$DL$53,MATCH(AI31,$DP$6:$DP$53,0))</f>
        <v>1</v>
      </c>
      <c r="AV31" s="182" t="str">
        <f ca="1">INDEX($BD$6:$BD$53,MATCH(AI31,$BM$6:$BM$53,0))</f>
        <v>Paraguay</v>
      </c>
      <c r="AW31" s="210"/>
      <c r="AX31" s="171"/>
      <c r="AY31" s="203" t="str">
        <f ca="1">+A30</f>
        <v>Paraguay</v>
      </c>
      <c r="AZ31" s="204"/>
      <c r="BA31" s="176"/>
      <c r="BC31" s="16" t="str">
        <f ca="1">+INDEX(T_Equipos[Grupo],MATCH(WORLDCUP!BD31,T_Equipos[NombreEquipo],0))</f>
        <v>G</v>
      </c>
      <c r="BD31" s="16" t="str">
        <f ca="1">+Equipos!B27</f>
        <v>Egypt</v>
      </c>
      <c r="BE31" s="16">
        <f t="shared" ca="1" si="16"/>
        <v>0</v>
      </c>
      <c r="BF31" s="16">
        <f t="shared" ca="1" si="41"/>
        <v>0</v>
      </c>
      <c r="BG31" s="16">
        <f t="shared" ca="1" si="17"/>
        <v>0</v>
      </c>
      <c r="BH31" s="16">
        <f t="shared" ca="1" si="18"/>
        <v>0</v>
      </c>
      <c r="BI31" s="16">
        <f t="shared" ca="1" si="19"/>
        <v>0</v>
      </c>
      <c r="BJ31" s="16">
        <f t="shared" ca="1" si="20"/>
        <v>0</v>
      </c>
      <c r="BK31" s="16">
        <f t="shared" ca="1" si="21"/>
        <v>0</v>
      </c>
      <c r="BL31" s="16">
        <f t="shared" ca="1" si="42"/>
        <v>0</v>
      </c>
      <c r="BM31" s="16" t="str">
        <f t="shared" ca="1" si="22"/>
        <v>2G</v>
      </c>
      <c r="BN31" s="16" t="str">
        <f t="shared" ca="1" si="23"/>
        <v>2G</v>
      </c>
      <c r="BO31" s="16">
        <f t="shared" ca="1" si="43"/>
        <v>0</v>
      </c>
      <c r="BP31" s="16">
        <f ca="1">COUNTIFS($BO$6:$BO$53,"&gt;"&amp;BO31,$BC$6:$BC$53,INDEX(T_Equipos[Grupo],MATCH(BD31,T_Equipos[NombreEquipo],0)))+1</f>
        <v>1</v>
      </c>
      <c r="BQ31" s="16" t="str">
        <f ca="1">IF(COUNTIFS($BP$6:$BP$53,BP31,$BC$6:$BC$53,INDEX(T_Equipos[Grupo],MATCH(BD31,T_Equipos[NombreEquipo],0)))=1,"-","P."&amp;BP31&amp;" ("&amp;COUNTIFS($BP$6:$BP$53,BP31,$BC$6:$BC$53,INDEX(T_Equipos[Grupo],MATCH(BD31,T_Equipos[NombreEquipo],0)))&amp;")")</f>
        <v>P.1 (4)</v>
      </c>
      <c r="BR31" s="16">
        <f t="shared" ca="1" si="44"/>
        <v>0</v>
      </c>
      <c r="BS31" s="16">
        <f ca="1">BP31+COUNTIFS($BQ$6:$BQ$53,BQ31,$BR$6:BR$53,"&gt;"&amp;BR31,$BC$6:$BC$53,INDEX(T_Equipos[Grupo],MATCH(BD31,T_Equipos[NombreEquipo],0)))</f>
        <v>1</v>
      </c>
      <c r="BT31" s="16" t="str">
        <f ca="1">IF(COUNTIFS($BS$6:$BS$53,BS31,$BC$6:$BC$53,INDEX(T_Equipos[Grupo],MATCH(BD31,T_Equipos[NombreEquipo],0)))=1,"-","P."&amp;BS31&amp;" ("&amp;COUNTIFS($BS$6:$BS$53,BS31,$BC$6:$BC$53,INDEX(T_Equipos[Grupo],MATCH(BD31,T_Equipos[NombreEquipo],0)))&amp;")")</f>
        <v>P.1 (4)</v>
      </c>
      <c r="BU31" s="16">
        <f t="shared" ca="1" si="24"/>
        <v>0</v>
      </c>
      <c r="BV31" s="16">
        <f t="shared" ca="1" si="25"/>
        <v>0</v>
      </c>
      <c r="BW31" s="16">
        <f t="shared" ca="1" si="26"/>
        <v>0</v>
      </c>
      <c r="BX31" s="16">
        <f t="shared" ca="1" si="48"/>
        <v>0</v>
      </c>
      <c r="BY31" s="16">
        <f ca="1">BS31+COUNTIFS($BT$6:$BT$53,BT31,$BX$6:BX$53,"&gt;"&amp;BX31,$BC$6:$BC$53,INDEX(T_Equipos[Grupo],MATCH(BD31,T_Equipos[NombreEquipo],0)))</f>
        <v>1</v>
      </c>
      <c r="BZ31" s="16" t="str">
        <f ca="1">IF(COUNTIFS($BY$6:$BY$53,BY31,$BC$6:$BC$53,INDEX(T_Equipos[Grupo],MATCH(BD31,T_Equipos[NombreEquipo],0)))=1,"-","P."&amp;BY31&amp;" ("&amp;COUNTIFS($BY$6:$BY$53,BY31,$BC$6:$BC$53,INDEX(T_Equipos[Grupo],MATCH(BD31,T_Equipos[NombreEquipo],0)))&amp;")")</f>
        <v>P.1 (4)</v>
      </c>
      <c r="CA31" s="16">
        <f t="shared" ca="1" si="27"/>
        <v>0</v>
      </c>
      <c r="CB31" s="16">
        <f t="shared" ca="1" si="28"/>
        <v>0</v>
      </c>
      <c r="CC31" s="16">
        <f t="shared" ca="1" si="49"/>
        <v>0</v>
      </c>
      <c r="CD31" s="16">
        <f ca="1">BY31+COUNTIFS($BZ$6:$BZ$53,BZ31,$CC$6:CC$53,"&gt;"&amp;CC31,$BC$6:$BC$53,INDEX(T_Equipos[Grupo],MATCH(BD31,T_Equipos[NombreEquipo],0)))</f>
        <v>1</v>
      </c>
      <c r="CE31" s="16" t="str">
        <f ca="1">IF(COUNTIFS($CD$6:$CD$53,CD31,$BC$6:$BC$53,INDEX(T_Equipos[Grupo],MATCH(BD31,T_Equipos[NombreEquipo],0)))=1,"-","P."&amp;CD31&amp;" ("&amp;COUNTIFS($CD$6:$CD$53,CD31,$BC$6:$BC$53,INDEX(T_Equipos[Grupo],MATCH(BD31,T_Equipos[NombreEquipo],0)))&amp;")")</f>
        <v>P.1 (4)</v>
      </c>
      <c r="CF31" s="16">
        <f t="shared" ca="1" si="29"/>
        <v>0</v>
      </c>
      <c r="CG31" s="16">
        <f ca="1">CD31+COUNTIFS($CE$6:$CE$53,CE31,$CF$6:CF$53,"&gt;"&amp;CF31,$BC$6:$BC$53,INDEX(T_Equipos[Grupo],MATCH(BD31,T_Equipos[NombreEquipo],0)))</f>
        <v>1</v>
      </c>
      <c r="CH31" s="16" t="str">
        <f ca="1">IF(COUNTIFS($CG$6:$CG$53,CG31,$BC$6:$BC$53,INDEX(T_Equipos[Grupo],MATCH(BD31,T_Equipos[NombreEquipo],0)))=1,"-","P."&amp;CG31&amp;" ("&amp;COUNTIFS($CG$6:$CG$53,CG31,$BC$6:$BC$53,INDEX(T_Equipos[Grupo],MATCH(BD31,T_Equipos[NombreEquipo],0)))&amp;")")</f>
        <v>P.1 (4)</v>
      </c>
      <c r="CI31" s="16">
        <f t="shared" ca="1" si="30"/>
        <v>0</v>
      </c>
      <c r="CJ31" s="16">
        <f t="shared" ca="1" si="31"/>
        <v>0</v>
      </c>
      <c r="CK31" s="16">
        <f t="shared" ca="1" si="32"/>
        <v>0</v>
      </c>
      <c r="CL31" s="16">
        <f t="shared" ca="1" si="50"/>
        <v>0</v>
      </c>
      <c r="CM31" s="16">
        <f ca="1">CG31+COUNTIFS($CH$6:$CH$53,CH31,$CL$6:CL$53,"&gt;"&amp;CL31,$BC$6:$BC$53,INDEX(T_Equipos[Grupo],MATCH(BD31,T_Equipos[NombreEquipo],0)))</f>
        <v>1</v>
      </c>
      <c r="CN31" s="16" t="str">
        <f ca="1">IF(COUNTIFS($CM$6:$CM$53,CM31,$BC$6:$BC$53,INDEX(T_Equipos[Grupo],MATCH(BD31,T_Equipos[NombreEquipo],0)))=1,"-","P."&amp;CM31&amp;" ("&amp;COUNTIFS($CM$6:$CM$53,CM31,$BC$6:$BC$53,INDEX(T_Equipos[Grupo],MATCH(BD31,T_Equipos[NombreEquipo],0)))&amp;")")</f>
        <v>P.1 (4)</v>
      </c>
      <c r="CO31" s="16">
        <f t="shared" ca="1" si="33"/>
        <v>0</v>
      </c>
      <c r="CP31" s="16">
        <f t="shared" ca="1" si="34"/>
        <v>0</v>
      </c>
      <c r="CQ31" s="16">
        <f t="shared" ca="1" si="51"/>
        <v>0</v>
      </c>
      <c r="CR31" s="16">
        <f ca="1">CM31+COUNTIFS($CN$6:$CN$53,CN31,$CQ$6:CQ$53,"&gt;"&amp;CQ31,$BC$6:$BC$53,INDEX(T_Equipos[Grupo],MATCH(BD31,T_Equipos[NombreEquipo],0)))</f>
        <v>1</v>
      </c>
      <c r="CS31" s="16" t="str">
        <f ca="1">IF(COUNTIFS($CR$6:$CR$53,CR31,$BC$6:$BC$53,INDEX(T_Equipos[Grupo],MATCH(BD31,T_Equipos[NombreEquipo],0)))=1,"-","P."&amp;CR31&amp;" ("&amp;COUNTIFS($CR$6:$CR$53,CR31,$BC$6:$BC$53,INDEX(T_Equipos[Grupo],MATCH(BD31,T_Equipos[NombreEquipo],0)))&amp;")")</f>
        <v>P.1 (4)</v>
      </c>
      <c r="CT31" s="16">
        <f t="shared" ca="1" si="35"/>
        <v>0</v>
      </c>
      <c r="CU31" s="16">
        <f ca="1">CR31+COUNTIFS($CS$6:$CS$53,CS31,$CT$6:CT$53,"&gt;"&amp;CT31,$BC$6:$BC$53,INDEX(T_Equipos[Grupo],MATCH(BD31,T_Equipos[NombreEquipo],0)))</f>
        <v>1</v>
      </c>
      <c r="CV31" s="16" t="str">
        <f ca="1">IF(COUNTIFS($CU$6:$CU$53,CU31,$BC$6:$BC$53,INDEX(T_Equipos[Grupo],MATCH(BD31,T_Equipos[NombreEquipo],0)))=1,"-","P."&amp;CU31&amp;" ("&amp;COUNTIFS($CU$6:$CU$53,CU31,$BC$6:$BC$53,INDEX(T_Equipos[Grupo],MATCH(BD31,T_Equipos[NombreEquipo],0)))&amp;")")</f>
        <v>P.1 (4)</v>
      </c>
      <c r="CW31" s="16">
        <f t="shared" ca="1" si="36"/>
        <v>0</v>
      </c>
      <c r="CX31" s="16">
        <f ca="1">CU31+COUNTIFS($CV$6:$CV$53,CV31,$CW$6:CW$53,"&gt;"&amp;CW31,$BC$6:$BC$53,INDEX(T_Equipos[Grupo],MATCH(BD31,T_Equipos[NombreEquipo],0)))</f>
        <v>1</v>
      </c>
      <c r="CY31" s="16" t="str">
        <f ca="1">IF(COUNTIFS($CX$6:$CX$53,CX31,$BC$6:$BC$53,INDEX(T_Equipos[Grupo],MATCH(BD31,T_Equipos[NombreEquipo],0)))=1,"-","P."&amp;CX31&amp;" ("&amp;COUNTIFS($CX$6:$CX$53,CX31,$BC$6:$BC$53,INDEX(T_Equipos[Grupo],MATCH(BD31,T_Equipos[NombreEquipo],0)))&amp;")")</f>
        <v>P.1 (4)</v>
      </c>
      <c r="CZ31" s="16">
        <f t="shared" ca="1" si="37"/>
        <v>0</v>
      </c>
      <c r="DA31" s="16">
        <f ca="1">CX31+COUNTIFS($CY$6:$CY$53,CY31,$CZ$6:CZ$53,"&gt;"&amp;CZ31,$BC$6:$BC$53,INDEX(T_Equipos[Grupo],MATCH(BD31,T_Equipos[NombreEquipo],0)))</f>
        <v>1</v>
      </c>
      <c r="DB31" s="16" t="str">
        <f ca="1">IF(COUNTIFS($DA$6:$DA$53,DA31,$BC$6:$BC$53,INDEX(T_Equipos[Grupo],MATCH(BD31,T_Equipos[NombreEquipo],0)))=1,"-","P."&amp;DA31&amp;" ("&amp;COUNTIFS($DA$6:$DA$53,DA31,$BC$6:$BC$53,INDEX(T_Equipos[Grupo],MATCH(BD31,T_Equipos[NombreEquipo],0)))&amp;")")</f>
        <v>P.1 (4)</v>
      </c>
      <c r="DC31" s="16">
        <f ca="1">IF(DB31="-","-",COUNTIFS(T_Equipos[Rank],"&lt;"&amp;INDEX(T_Equipos[Rank],MATCH(BD31,T_Equipos[NombreEquipo],0)),$BC$6:$BC$53,INDEX(T_Equipos[Grupo],MATCH(BD31,T_Equipos[NombreEquipo],0)))+1)</f>
        <v>2</v>
      </c>
      <c r="DD31" s="16">
        <f ca="1">DA31+COUNTIFS($DB$6:$DB$53,DB31,$DC$6:DC$53,"&lt;"&amp;DC31,$BC$6:$BC$53,INDEX(T_Equipos[Grupo],MATCH(BD31,T_Equipos[NombreEquipo],0)))</f>
        <v>2</v>
      </c>
      <c r="DE31" s="16"/>
      <c r="DF31" s="16">
        <f t="shared" ca="1" si="52"/>
        <v>2</v>
      </c>
      <c r="DG31" s="16">
        <f ca="1">IF(DB31="-","-",COUNTIFS(DF$6:DF$53,"&lt;"&amp;DF31,$BC$6:$BC$53,INDEX(T_Equipos[Grupo],MATCH(BD31,T_Equipos[NombreEquipo],0))))</f>
        <v>1</v>
      </c>
      <c r="DH31" s="16">
        <f ca="1">DA31+COUNTIFS(DB$6:DB$53,DB31,DG$6:DG$53,"&lt;"&amp;DG31,$BC$6:$BC$53,INDEX(T_Equipos[Grupo],MATCH(BD31,T_Equipos[NombreEquipo],0)))</f>
        <v>2</v>
      </c>
      <c r="DI31" s="16"/>
      <c r="DJ31" s="16">
        <f t="shared" ca="1" si="38"/>
        <v>1</v>
      </c>
      <c r="DK31" s="16">
        <f t="shared" ca="1" si="39"/>
        <v>0</v>
      </c>
      <c r="DL31" s="16">
        <f t="shared" ca="1" si="40"/>
        <v>1</v>
      </c>
      <c r="DM31" s="16" t="str">
        <f t="shared" ca="1" si="46"/>
        <v>1.1</v>
      </c>
      <c r="DN31" s="16" cm="1">
        <f t="array" aca="1" ref="DN31" ca="1">OFFSET(Horarios!$P$3,DJ31-1,0,DL31,1)</f>
        <v>1</v>
      </c>
      <c r="DO31" s="16"/>
      <c r="DP31" s="16" t="s">
        <v>679</v>
      </c>
      <c r="DQ31" s="16" t="str">
        <f t="shared" ca="1" si="47"/>
        <v>Egypt</v>
      </c>
    </row>
    <row r="32" spans="1:121" ht="16" customHeight="1" x14ac:dyDescent="0.2">
      <c r="A32" s="16" t="str">
        <f ca="1">+Equipos!B17</f>
        <v>Turkey</v>
      </c>
      <c r="B32" s="16"/>
      <c r="C32" s="16"/>
      <c r="D32" s="16" t="str">
        <f t="shared" si="91"/>
        <v>Pendiente</v>
      </c>
      <c r="E32" s="16" t="str">
        <f t="shared" si="92"/>
        <v>-</v>
      </c>
      <c r="F32" s="16" t="str">
        <f t="shared" si="93"/>
        <v>-</v>
      </c>
      <c r="G32" s="16"/>
      <c r="H32" s="16" t="str">
        <f t="shared" si="94"/>
        <v>-</v>
      </c>
      <c r="I32" s="16" t="str">
        <f t="shared" si="95"/>
        <v>-</v>
      </c>
      <c r="J32" s="16"/>
      <c r="K32" s="16" t="str">
        <f t="shared" si="96"/>
        <v>-</v>
      </c>
      <c r="L32" s="16" t="str">
        <f t="shared" si="97"/>
        <v>-</v>
      </c>
      <c r="M32" s="16"/>
      <c r="N32" s="16" t="str">
        <f t="shared" si="98"/>
        <v>-</v>
      </c>
      <c r="O32" s="16" t="str">
        <f t="shared" si="99"/>
        <v>-</v>
      </c>
      <c r="P32" s="16"/>
      <c r="Q32" s="16" t="str">
        <f t="shared" si="100"/>
        <v>-</v>
      </c>
      <c r="R32" s="16" t="str">
        <f t="shared" si="101"/>
        <v>-</v>
      </c>
      <c r="S32" s="16"/>
      <c r="T32" s="16" t="str">
        <f t="shared" si="102"/>
        <v>-</v>
      </c>
      <c r="U32" s="16" t="str">
        <f t="shared" si="103"/>
        <v>-</v>
      </c>
      <c r="V32" s="17"/>
      <c r="W32" s="651"/>
      <c r="X32" s="24">
        <f ca="1">Horarios!C32</f>
        <v>46198.916666666664</v>
      </c>
      <c r="Y32" s="25">
        <f ca="1">Horarios!C32</f>
        <v>46198.916666666664</v>
      </c>
      <c r="Z32" s="26" t="str">
        <f>$Z$8</f>
        <v>R3</v>
      </c>
      <c r="AA32" s="27" t="str">
        <f ca="1">A32</f>
        <v>Turkey</v>
      </c>
      <c r="AB32" s="49" t="str" cm="1">
        <f t="array" aca="1" ref="AB32" ca="1">Ver_flag_local</f>
        <v>🇹🇷</v>
      </c>
      <c r="AC32" s="50"/>
      <c r="AD32" s="51"/>
      <c r="AE32" s="595" t="str" cm="1">
        <f t="array" aca="1" ref="AE32" ca="1">Ver_flag_visit</f>
        <v>🇺🇸</v>
      </c>
      <c r="AF32" s="32" t="str">
        <f ca="1">A29</f>
        <v>United States</v>
      </c>
      <c r="AG32" s="323">
        <f t="shared" si="104"/>
        <v>0</v>
      </c>
      <c r="AH32" s="195">
        <v>59</v>
      </c>
      <c r="AI32" s="181" t="str">
        <f t="shared" si="108"/>
        <v>3D</v>
      </c>
      <c r="AJ32" s="42">
        <v>3</v>
      </c>
      <c r="AK32" s="602" t="str" cm="1">
        <f t="array" aca="1" ref="AK32" ca="1">Ver_flag_visit</f>
        <v>🇦🇺</v>
      </c>
      <c r="AL32" s="37" t="str">
        <f ca="1">IFERROR(INDEX($BD$6:$BD$53,MATCH(AI32,$BN$6:$BN$53,0)),"")</f>
        <v>Australia</v>
      </c>
      <c r="AM32" s="38">
        <f t="shared" ca="1" si="107"/>
        <v>0</v>
      </c>
      <c r="AN32" s="39">
        <f t="shared" ca="1" si="107"/>
        <v>0</v>
      </c>
      <c r="AO32" s="39">
        <f t="shared" ca="1" si="107"/>
        <v>0</v>
      </c>
      <c r="AP32" s="39">
        <f t="shared" ca="1" si="107"/>
        <v>0</v>
      </c>
      <c r="AQ32" s="39">
        <f t="shared" ca="1" si="107"/>
        <v>0</v>
      </c>
      <c r="AR32" s="39">
        <f t="shared" ca="1" si="107"/>
        <v>0</v>
      </c>
      <c r="AS32" s="39">
        <f t="shared" ca="1" si="107"/>
        <v>0</v>
      </c>
      <c r="AT32" s="43">
        <f t="shared" ca="1" si="107"/>
        <v>0</v>
      </c>
      <c r="AU32" s="330">
        <f ca="1">INDEX($DL$6:$DL$53,MATCH(AI32,$DP$6:$DP$53,0))</f>
        <v>1</v>
      </c>
      <c r="AV32" s="182" t="str">
        <f ca="1">INDEX($BD$6:$BD$53,MATCH(AI32,$BM$6:$BM$53,0))</f>
        <v>Australia</v>
      </c>
      <c r="AW32" s="210"/>
      <c r="AX32" s="171"/>
      <c r="AY32" s="201" t="str">
        <f ca="1">+A31</f>
        <v>Australia</v>
      </c>
      <c r="AZ32" s="202"/>
      <c r="BA32" s="176"/>
      <c r="BC32" s="16" t="str">
        <f ca="1">+INDEX(T_Equipos[Grupo],MATCH(WORLDCUP!BD32,T_Equipos[NombreEquipo],0))</f>
        <v>G</v>
      </c>
      <c r="BD32" s="16" t="str">
        <f ca="1">+Equipos!B28</f>
        <v>Iran</v>
      </c>
      <c r="BE32" s="16">
        <f t="shared" ca="1" si="16"/>
        <v>0</v>
      </c>
      <c r="BF32" s="16">
        <f t="shared" ca="1" si="41"/>
        <v>0</v>
      </c>
      <c r="BG32" s="16">
        <f t="shared" ca="1" si="17"/>
        <v>0</v>
      </c>
      <c r="BH32" s="16">
        <f t="shared" ca="1" si="18"/>
        <v>0</v>
      </c>
      <c r="BI32" s="16">
        <f t="shared" ca="1" si="19"/>
        <v>0</v>
      </c>
      <c r="BJ32" s="16">
        <f t="shared" ca="1" si="20"/>
        <v>0</v>
      </c>
      <c r="BK32" s="16">
        <f t="shared" ca="1" si="21"/>
        <v>0</v>
      </c>
      <c r="BL32" s="16">
        <f t="shared" ca="1" si="42"/>
        <v>0</v>
      </c>
      <c r="BM32" s="16" t="str">
        <f t="shared" ca="1" si="22"/>
        <v>3G</v>
      </c>
      <c r="BN32" s="16" t="str">
        <f t="shared" ca="1" si="23"/>
        <v>3G</v>
      </c>
      <c r="BO32" s="16">
        <f t="shared" ca="1" si="43"/>
        <v>0</v>
      </c>
      <c r="BP32" s="16">
        <f ca="1">COUNTIFS($BO$6:$BO$53,"&gt;"&amp;BO32,$BC$6:$BC$53,INDEX(T_Equipos[Grupo],MATCH(BD32,T_Equipos[NombreEquipo],0)))+1</f>
        <v>1</v>
      </c>
      <c r="BQ32" s="16" t="str">
        <f ca="1">IF(COUNTIFS($BP$6:$BP$53,BP32,$BC$6:$BC$53,INDEX(T_Equipos[Grupo],MATCH(BD32,T_Equipos[NombreEquipo],0)))=1,"-","P."&amp;BP32&amp;" ("&amp;COUNTIFS($BP$6:$BP$53,BP32,$BC$6:$BC$53,INDEX(T_Equipos[Grupo],MATCH(BD32,T_Equipos[NombreEquipo],0)))&amp;")")</f>
        <v>P.1 (4)</v>
      </c>
      <c r="BR32" s="16">
        <f t="shared" ca="1" si="44"/>
        <v>0</v>
      </c>
      <c r="BS32" s="16">
        <f ca="1">BP32+COUNTIFS($BQ$6:$BQ$53,BQ32,$BR$6:BR$53,"&gt;"&amp;BR32,$BC$6:$BC$53,INDEX(T_Equipos[Grupo],MATCH(BD32,T_Equipos[NombreEquipo],0)))</f>
        <v>1</v>
      </c>
      <c r="BT32" s="16" t="str">
        <f ca="1">IF(COUNTIFS($BS$6:$BS$53,BS32,$BC$6:$BC$53,INDEX(T_Equipos[Grupo],MATCH(BD32,T_Equipos[NombreEquipo],0)))=1,"-","P."&amp;BS32&amp;" ("&amp;COUNTIFS($BS$6:$BS$53,BS32,$BC$6:$BC$53,INDEX(T_Equipos[Grupo],MATCH(BD32,T_Equipos[NombreEquipo],0)))&amp;")")</f>
        <v>P.1 (4)</v>
      </c>
      <c r="BU32" s="16">
        <f t="shared" ca="1" si="24"/>
        <v>0</v>
      </c>
      <c r="BV32" s="16">
        <f t="shared" ca="1" si="25"/>
        <v>0</v>
      </c>
      <c r="BW32" s="16">
        <f t="shared" ca="1" si="26"/>
        <v>0</v>
      </c>
      <c r="BX32" s="16">
        <f t="shared" ca="1" si="48"/>
        <v>0</v>
      </c>
      <c r="BY32" s="16">
        <f ca="1">BS32+COUNTIFS($BT$6:$BT$53,BT32,$BX$6:BX$53,"&gt;"&amp;BX32,$BC$6:$BC$53,INDEX(T_Equipos[Grupo],MATCH(BD32,T_Equipos[NombreEquipo],0)))</f>
        <v>1</v>
      </c>
      <c r="BZ32" s="16" t="str">
        <f ca="1">IF(COUNTIFS($BY$6:$BY$53,BY32,$BC$6:$BC$53,INDEX(T_Equipos[Grupo],MATCH(BD32,T_Equipos[NombreEquipo],0)))=1,"-","P."&amp;BY32&amp;" ("&amp;COUNTIFS($BY$6:$BY$53,BY32,$BC$6:$BC$53,INDEX(T_Equipos[Grupo],MATCH(BD32,T_Equipos[NombreEquipo],0)))&amp;")")</f>
        <v>P.1 (4)</v>
      </c>
      <c r="CA32" s="16">
        <f t="shared" ca="1" si="27"/>
        <v>0</v>
      </c>
      <c r="CB32" s="16">
        <f t="shared" ca="1" si="28"/>
        <v>0</v>
      </c>
      <c r="CC32" s="16">
        <f t="shared" ca="1" si="49"/>
        <v>0</v>
      </c>
      <c r="CD32" s="16">
        <f ca="1">BY32+COUNTIFS($BZ$6:$BZ$53,BZ32,$CC$6:CC$53,"&gt;"&amp;CC32,$BC$6:$BC$53,INDEX(T_Equipos[Grupo],MATCH(BD32,T_Equipos[NombreEquipo],0)))</f>
        <v>1</v>
      </c>
      <c r="CE32" s="16" t="str">
        <f ca="1">IF(COUNTIFS($CD$6:$CD$53,CD32,$BC$6:$BC$53,INDEX(T_Equipos[Grupo],MATCH(BD32,T_Equipos[NombreEquipo],0)))=1,"-","P."&amp;CD32&amp;" ("&amp;COUNTIFS($CD$6:$CD$53,CD32,$BC$6:$BC$53,INDEX(T_Equipos[Grupo],MATCH(BD32,T_Equipos[NombreEquipo],0)))&amp;")")</f>
        <v>P.1 (4)</v>
      </c>
      <c r="CF32" s="16">
        <f t="shared" ca="1" si="29"/>
        <v>0</v>
      </c>
      <c r="CG32" s="16">
        <f ca="1">CD32+COUNTIFS($CE$6:$CE$53,CE32,$CF$6:CF$53,"&gt;"&amp;CF32,$BC$6:$BC$53,INDEX(T_Equipos[Grupo],MATCH(BD32,T_Equipos[NombreEquipo],0)))</f>
        <v>1</v>
      </c>
      <c r="CH32" s="16" t="str">
        <f ca="1">IF(COUNTIFS($CG$6:$CG$53,CG32,$BC$6:$BC$53,INDEX(T_Equipos[Grupo],MATCH(BD32,T_Equipos[NombreEquipo],0)))=1,"-","P."&amp;CG32&amp;" ("&amp;COUNTIFS($CG$6:$CG$53,CG32,$BC$6:$BC$53,INDEX(T_Equipos[Grupo],MATCH(BD32,T_Equipos[NombreEquipo],0)))&amp;")")</f>
        <v>P.1 (4)</v>
      </c>
      <c r="CI32" s="16">
        <f t="shared" ca="1" si="30"/>
        <v>0</v>
      </c>
      <c r="CJ32" s="16">
        <f t="shared" ca="1" si="31"/>
        <v>0</v>
      </c>
      <c r="CK32" s="16">
        <f t="shared" ca="1" si="32"/>
        <v>0</v>
      </c>
      <c r="CL32" s="16">
        <f t="shared" ca="1" si="50"/>
        <v>0</v>
      </c>
      <c r="CM32" s="16">
        <f ca="1">CG32+COUNTIFS($CH$6:$CH$53,CH32,$CL$6:CL$53,"&gt;"&amp;CL32,$BC$6:$BC$53,INDEX(T_Equipos[Grupo],MATCH(BD32,T_Equipos[NombreEquipo],0)))</f>
        <v>1</v>
      </c>
      <c r="CN32" s="16" t="str">
        <f ca="1">IF(COUNTIFS($CM$6:$CM$53,CM32,$BC$6:$BC$53,INDEX(T_Equipos[Grupo],MATCH(BD32,T_Equipos[NombreEquipo],0)))=1,"-","P."&amp;CM32&amp;" ("&amp;COUNTIFS($CM$6:$CM$53,CM32,$BC$6:$BC$53,INDEX(T_Equipos[Grupo],MATCH(BD32,T_Equipos[NombreEquipo],0)))&amp;")")</f>
        <v>P.1 (4)</v>
      </c>
      <c r="CO32" s="16">
        <f t="shared" ca="1" si="33"/>
        <v>0</v>
      </c>
      <c r="CP32" s="16">
        <f t="shared" ca="1" si="34"/>
        <v>0</v>
      </c>
      <c r="CQ32" s="16">
        <f t="shared" ca="1" si="51"/>
        <v>0</v>
      </c>
      <c r="CR32" s="16">
        <f ca="1">CM32+COUNTIFS($CN$6:$CN$53,CN32,$CQ$6:CQ$53,"&gt;"&amp;CQ32,$BC$6:$BC$53,INDEX(T_Equipos[Grupo],MATCH(BD32,T_Equipos[NombreEquipo],0)))</f>
        <v>1</v>
      </c>
      <c r="CS32" s="16" t="str">
        <f ca="1">IF(COUNTIFS($CR$6:$CR$53,CR32,$BC$6:$BC$53,INDEX(T_Equipos[Grupo],MATCH(BD32,T_Equipos[NombreEquipo],0)))=1,"-","P."&amp;CR32&amp;" ("&amp;COUNTIFS($CR$6:$CR$53,CR32,$BC$6:$BC$53,INDEX(T_Equipos[Grupo],MATCH(BD32,T_Equipos[NombreEquipo],0)))&amp;")")</f>
        <v>P.1 (4)</v>
      </c>
      <c r="CT32" s="16">
        <f t="shared" ca="1" si="35"/>
        <v>0</v>
      </c>
      <c r="CU32" s="16">
        <f ca="1">CR32+COUNTIFS($CS$6:$CS$53,CS32,$CT$6:CT$53,"&gt;"&amp;CT32,$BC$6:$BC$53,INDEX(T_Equipos[Grupo],MATCH(BD32,T_Equipos[NombreEquipo],0)))</f>
        <v>1</v>
      </c>
      <c r="CV32" s="16" t="str">
        <f ca="1">IF(COUNTIFS($CU$6:$CU$53,CU32,$BC$6:$BC$53,INDEX(T_Equipos[Grupo],MATCH(BD32,T_Equipos[NombreEquipo],0)))=1,"-","P."&amp;CU32&amp;" ("&amp;COUNTIFS($CU$6:$CU$53,CU32,$BC$6:$BC$53,INDEX(T_Equipos[Grupo],MATCH(BD32,T_Equipos[NombreEquipo],0)))&amp;")")</f>
        <v>P.1 (4)</v>
      </c>
      <c r="CW32" s="16">
        <f t="shared" ca="1" si="36"/>
        <v>0</v>
      </c>
      <c r="CX32" s="16">
        <f ca="1">CU32+COUNTIFS($CV$6:$CV$53,CV32,$CW$6:CW$53,"&gt;"&amp;CW32,$BC$6:$BC$53,INDEX(T_Equipos[Grupo],MATCH(BD32,T_Equipos[NombreEquipo],0)))</f>
        <v>1</v>
      </c>
      <c r="CY32" s="16" t="str">
        <f ca="1">IF(COUNTIFS($CX$6:$CX$53,CX32,$BC$6:$BC$53,INDEX(T_Equipos[Grupo],MATCH(BD32,T_Equipos[NombreEquipo],0)))=1,"-","P."&amp;CX32&amp;" ("&amp;COUNTIFS($CX$6:$CX$53,CX32,$BC$6:$BC$53,INDEX(T_Equipos[Grupo],MATCH(BD32,T_Equipos[NombreEquipo],0)))&amp;")")</f>
        <v>P.1 (4)</v>
      </c>
      <c r="CZ32" s="16">
        <f t="shared" ca="1" si="37"/>
        <v>0</v>
      </c>
      <c r="DA32" s="16">
        <f ca="1">CX32+COUNTIFS($CY$6:$CY$53,CY32,$CZ$6:CZ$53,"&gt;"&amp;CZ32,$BC$6:$BC$53,INDEX(T_Equipos[Grupo],MATCH(BD32,T_Equipos[NombreEquipo],0)))</f>
        <v>1</v>
      </c>
      <c r="DB32" s="16" t="str">
        <f ca="1">IF(COUNTIFS($DA$6:$DA$53,DA32,$BC$6:$BC$53,INDEX(T_Equipos[Grupo],MATCH(BD32,T_Equipos[NombreEquipo],0)))=1,"-","P."&amp;DA32&amp;" ("&amp;COUNTIFS($DA$6:$DA$53,DA32,$BC$6:$BC$53,INDEX(T_Equipos[Grupo],MATCH(BD32,T_Equipos[NombreEquipo],0)))&amp;")")</f>
        <v>P.1 (4)</v>
      </c>
      <c r="DC32" s="16">
        <f ca="1">IF(DB32="-","-",COUNTIFS(T_Equipos[Rank],"&lt;"&amp;INDEX(T_Equipos[Rank],MATCH(BD32,T_Equipos[NombreEquipo],0)),$BC$6:$BC$53,INDEX(T_Equipos[Grupo],MATCH(BD32,T_Equipos[NombreEquipo],0)))+1)</f>
        <v>3</v>
      </c>
      <c r="DD32" s="16">
        <f ca="1">DA32+COUNTIFS($DB$6:$DB$53,DB32,$DC$6:DC$53,"&lt;"&amp;DC32,$BC$6:$BC$53,INDEX(T_Equipos[Grupo],MATCH(BD32,T_Equipos[NombreEquipo],0)))</f>
        <v>3</v>
      </c>
      <c r="DE32" s="16"/>
      <c r="DF32" s="16">
        <f t="shared" ca="1" si="52"/>
        <v>3</v>
      </c>
      <c r="DG32" s="16">
        <f ca="1">IF(DB32="-","-",COUNTIFS(DF$6:DF$53,"&lt;"&amp;DF32,$BC$6:$BC$53,INDEX(T_Equipos[Grupo],MATCH(BD32,T_Equipos[NombreEquipo],0))))</f>
        <v>2</v>
      </c>
      <c r="DH32" s="16">
        <f ca="1">DA32+COUNTIFS(DB$6:DB$53,DB32,DG$6:DG$53,"&lt;"&amp;DG32,$BC$6:$BC$53,INDEX(T_Equipos[Grupo],MATCH(BD32,T_Equipos[NombreEquipo],0)))</f>
        <v>3</v>
      </c>
      <c r="DI32" s="16"/>
      <c r="DJ32" s="16">
        <f t="shared" ca="1" si="38"/>
        <v>1</v>
      </c>
      <c r="DK32" s="16">
        <f t="shared" ca="1" si="39"/>
        <v>0</v>
      </c>
      <c r="DL32" s="16">
        <f t="shared" ca="1" si="40"/>
        <v>1</v>
      </c>
      <c r="DM32" s="16" t="str">
        <f t="shared" ca="1" si="46"/>
        <v>1.1</v>
      </c>
      <c r="DN32" s="16" cm="1">
        <f t="array" aca="1" ref="DN32" ca="1">OFFSET(Horarios!$P$3,DJ32-1,0,DL32,1)</f>
        <v>1</v>
      </c>
      <c r="DO32" s="16"/>
      <c r="DP32" s="16" t="s">
        <v>445</v>
      </c>
      <c r="DQ32" s="16" t="str">
        <f t="shared" ca="1" si="47"/>
        <v>Iran</v>
      </c>
    </row>
    <row r="33" spans="1:121" ht="16" customHeight="1" thickBot="1" x14ac:dyDescent="0.25">
      <c r="A33" s="16"/>
      <c r="B33" s="16"/>
      <c r="C33" s="16"/>
      <c r="D33" s="16" t="str">
        <f t="shared" si="91"/>
        <v>Pendiente</v>
      </c>
      <c r="E33" s="16" t="str">
        <f t="shared" si="92"/>
        <v>-</v>
      </c>
      <c r="F33" s="16" t="str">
        <f t="shared" si="93"/>
        <v>-</v>
      </c>
      <c r="G33" s="16"/>
      <c r="H33" s="16" t="str">
        <f t="shared" si="94"/>
        <v>-</v>
      </c>
      <c r="I33" s="16" t="str">
        <f t="shared" si="95"/>
        <v>-</v>
      </c>
      <c r="J33" s="16"/>
      <c r="K33" s="16" t="str">
        <f t="shared" si="96"/>
        <v>-</v>
      </c>
      <c r="L33" s="16" t="str">
        <f t="shared" si="97"/>
        <v>-</v>
      </c>
      <c r="M33" s="16"/>
      <c r="N33" s="16" t="str">
        <f t="shared" si="98"/>
        <v>-</v>
      </c>
      <c r="O33" s="16" t="str">
        <f t="shared" si="99"/>
        <v>-</v>
      </c>
      <c r="P33" s="16"/>
      <c r="Q33" s="16" t="str">
        <f t="shared" si="100"/>
        <v>-</v>
      </c>
      <c r="R33" s="16" t="str">
        <f t="shared" si="101"/>
        <v>-</v>
      </c>
      <c r="S33" s="16"/>
      <c r="T33" s="16" t="str">
        <f t="shared" si="102"/>
        <v>-</v>
      </c>
      <c r="U33" s="16" t="str">
        <f t="shared" si="103"/>
        <v>-</v>
      </c>
      <c r="V33" s="17"/>
      <c r="W33" s="652"/>
      <c r="X33" s="28">
        <f ca="1">Horarios!C33</f>
        <v>46198.916666666664</v>
      </c>
      <c r="Y33" s="29">
        <f ca="1">Horarios!C33</f>
        <v>46198.916666666664</v>
      </c>
      <c r="Z33" s="30" t="str">
        <f>$Z$8</f>
        <v>R3</v>
      </c>
      <c r="AA33" s="31" t="str">
        <f ca="1">A30</f>
        <v>Paraguay</v>
      </c>
      <c r="AB33" s="52" t="str" cm="1">
        <f t="array" aca="1" ref="AB33" ca="1">Ver_flag_local</f>
        <v>🇵🇾</v>
      </c>
      <c r="AC33" s="53"/>
      <c r="AD33" s="54"/>
      <c r="AE33" s="596" t="str" cm="1">
        <f t="array" aca="1" ref="AE33" ca="1">Ver_flag_visit</f>
        <v>🇦🇺</v>
      </c>
      <c r="AF33" s="33" t="str">
        <f ca="1">A31</f>
        <v>Australia</v>
      </c>
      <c r="AG33" s="323">
        <f t="shared" si="104"/>
        <v>0</v>
      </c>
      <c r="AH33" s="195">
        <v>60</v>
      </c>
      <c r="AI33" s="181" t="str">
        <f t="shared" si="108"/>
        <v>4D</v>
      </c>
      <c r="AJ33" s="44">
        <v>4</v>
      </c>
      <c r="AK33" s="604" t="str" cm="1">
        <f t="array" aca="1" ref="AK33" ca="1">Ver_flag_visit</f>
        <v>🇹🇷</v>
      </c>
      <c r="AL33" s="45" t="str">
        <f ca="1">IFERROR(INDEX($BD$6:$BD$53,MATCH(AI33,$BN$6:$BN$53,0)),"")</f>
        <v>Turkey</v>
      </c>
      <c r="AM33" s="46">
        <f t="shared" ca="1" si="107"/>
        <v>0</v>
      </c>
      <c r="AN33" s="47">
        <f t="shared" ca="1" si="107"/>
        <v>0</v>
      </c>
      <c r="AO33" s="47">
        <f t="shared" ca="1" si="107"/>
        <v>0</v>
      </c>
      <c r="AP33" s="47">
        <f t="shared" ca="1" si="107"/>
        <v>0</v>
      </c>
      <c r="AQ33" s="47">
        <f t="shared" ca="1" si="107"/>
        <v>0</v>
      </c>
      <c r="AR33" s="47">
        <f t="shared" ca="1" si="107"/>
        <v>0</v>
      </c>
      <c r="AS33" s="47">
        <f t="shared" ca="1" si="107"/>
        <v>0</v>
      </c>
      <c r="AT33" s="48">
        <f t="shared" ca="1" si="107"/>
        <v>0</v>
      </c>
      <c r="AU33" s="330">
        <f ca="1">INDEX($DL$6:$DL$53,MATCH(AI33,$DP$6:$DP$53,0))</f>
        <v>1</v>
      </c>
      <c r="AV33" s="182" t="str">
        <f ca="1">INDEX($BD$6:$BD$53,MATCH(AI33,$BM$6:$BM$53,0))</f>
        <v>Turkey</v>
      </c>
      <c r="AW33" s="210"/>
      <c r="AX33" s="171"/>
      <c r="AY33" s="205" t="str">
        <f ca="1">+A32</f>
        <v>Turkey</v>
      </c>
      <c r="AZ33" s="206"/>
      <c r="BA33" s="176"/>
      <c r="BC33" s="16" t="str">
        <f ca="1">+INDEX(T_Equipos[Grupo],MATCH(WORLDCUP!BD33,T_Equipos[NombreEquipo],0))</f>
        <v>G</v>
      </c>
      <c r="BD33" s="16" t="str">
        <f ca="1">+Equipos!B29</f>
        <v>New Zealand</v>
      </c>
      <c r="BE33" s="16">
        <f t="shared" ca="1" si="16"/>
        <v>0</v>
      </c>
      <c r="BF33" s="16">
        <f t="shared" ca="1" si="41"/>
        <v>0</v>
      </c>
      <c r="BG33" s="16">
        <f t="shared" ca="1" si="17"/>
        <v>0</v>
      </c>
      <c r="BH33" s="16">
        <f t="shared" ca="1" si="18"/>
        <v>0</v>
      </c>
      <c r="BI33" s="16">
        <f t="shared" ca="1" si="19"/>
        <v>0</v>
      </c>
      <c r="BJ33" s="16">
        <f t="shared" ca="1" si="20"/>
        <v>0</v>
      </c>
      <c r="BK33" s="16">
        <f t="shared" ca="1" si="21"/>
        <v>0</v>
      </c>
      <c r="BL33" s="16">
        <f t="shared" ca="1" si="42"/>
        <v>0</v>
      </c>
      <c r="BM33" s="16" t="str">
        <f t="shared" ca="1" si="22"/>
        <v>4G</v>
      </c>
      <c r="BN33" s="16" t="str">
        <f t="shared" ca="1" si="23"/>
        <v>4G</v>
      </c>
      <c r="BO33" s="16">
        <f t="shared" ca="1" si="43"/>
        <v>0</v>
      </c>
      <c r="BP33" s="16">
        <f ca="1">COUNTIFS($BO$6:$BO$53,"&gt;"&amp;BO33,$BC$6:$BC$53,INDEX(T_Equipos[Grupo],MATCH(BD33,T_Equipos[NombreEquipo],0)))+1</f>
        <v>1</v>
      </c>
      <c r="BQ33" s="16" t="str">
        <f ca="1">IF(COUNTIFS($BP$6:$BP$53,BP33,$BC$6:$BC$53,INDEX(T_Equipos[Grupo],MATCH(BD33,T_Equipos[NombreEquipo],0)))=1,"-","P."&amp;BP33&amp;" ("&amp;COUNTIFS($BP$6:$BP$53,BP33,$BC$6:$BC$53,INDEX(T_Equipos[Grupo],MATCH(BD33,T_Equipos[NombreEquipo],0)))&amp;")")</f>
        <v>P.1 (4)</v>
      </c>
      <c r="BR33" s="16">
        <f t="shared" ca="1" si="44"/>
        <v>0</v>
      </c>
      <c r="BS33" s="16">
        <f ca="1">BP33+COUNTIFS($BQ$6:$BQ$53,BQ33,$BR$6:BR$53,"&gt;"&amp;BR33,$BC$6:$BC$53,INDEX(T_Equipos[Grupo],MATCH(BD33,T_Equipos[NombreEquipo],0)))</f>
        <v>1</v>
      </c>
      <c r="BT33" s="16" t="str">
        <f ca="1">IF(COUNTIFS($BS$6:$BS$53,BS33,$BC$6:$BC$53,INDEX(T_Equipos[Grupo],MATCH(BD33,T_Equipos[NombreEquipo],0)))=1,"-","P."&amp;BS33&amp;" ("&amp;COUNTIFS($BS$6:$BS$53,BS33,$BC$6:$BC$53,INDEX(T_Equipos[Grupo],MATCH(BD33,T_Equipos[NombreEquipo],0)))&amp;")")</f>
        <v>P.1 (4)</v>
      </c>
      <c r="BU33" s="16">
        <f t="shared" ca="1" si="24"/>
        <v>0</v>
      </c>
      <c r="BV33" s="16">
        <f t="shared" ca="1" si="25"/>
        <v>0</v>
      </c>
      <c r="BW33" s="16">
        <f t="shared" ca="1" si="26"/>
        <v>0</v>
      </c>
      <c r="BX33" s="16">
        <f t="shared" ca="1" si="48"/>
        <v>0</v>
      </c>
      <c r="BY33" s="16">
        <f ca="1">BS33+COUNTIFS($BT$6:$BT$53,BT33,$BX$6:BX$53,"&gt;"&amp;BX33,$BC$6:$BC$53,INDEX(T_Equipos[Grupo],MATCH(BD33,T_Equipos[NombreEquipo],0)))</f>
        <v>1</v>
      </c>
      <c r="BZ33" s="16" t="str">
        <f ca="1">IF(COUNTIFS($BY$6:$BY$53,BY33,$BC$6:$BC$53,INDEX(T_Equipos[Grupo],MATCH(BD33,T_Equipos[NombreEquipo],0)))=1,"-","P."&amp;BY33&amp;" ("&amp;COUNTIFS($BY$6:$BY$53,BY33,$BC$6:$BC$53,INDEX(T_Equipos[Grupo],MATCH(BD33,T_Equipos[NombreEquipo],0)))&amp;")")</f>
        <v>P.1 (4)</v>
      </c>
      <c r="CA33" s="16">
        <f t="shared" ca="1" si="27"/>
        <v>0</v>
      </c>
      <c r="CB33" s="16">
        <f t="shared" ca="1" si="28"/>
        <v>0</v>
      </c>
      <c r="CC33" s="16">
        <f t="shared" ca="1" si="49"/>
        <v>0</v>
      </c>
      <c r="CD33" s="16">
        <f ca="1">BY33+COUNTIFS($BZ$6:$BZ$53,BZ33,$CC$6:CC$53,"&gt;"&amp;CC33,$BC$6:$BC$53,INDEX(T_Equipos[Grupo],MATCH(BD33,T_Equipos[NombreEquipo],0)))</f>
        <v>1</v>
      </c>
      <c r="CE33" s="16" t="str">
        <f ca="1">IF(COUNTIFS($CD$6:$CD$53,CD33,$BC$6:$BC$53,INDEX(T_Equipos[Grupo],MATCH(BD33,T_Equipos[NombreEquipo],0)))=1,"-","P."&amp;CD33&amp;" ("&amp;COUNTIFS($CD$6:$CD$53,CD33,$BC$6:$BC$53,INDEX(T_Equipos[Grupo],MATCH(BD33,T_Equipos[NombreEquipo],0)))&amp;")")</f>
        <v>P.1 (4)</v>
      </c>
      <c r="CF33" s="16">
        <f t="shared" ca="1" si="29"/>
        <v>0</v>
      </c>
      <c r="CG33" s="16">
        <f ca="1">CD33+COUNTIFS($CE$6:$CE$53,CE33,$CF$6:CF$53,"&gt;"&amp;CF33,$BC$6:$BC$53,INDEX(T_Equipos[Grupo],MATCH(BD33,T_Equipos[NombreEquipo],0)))</f>
        <v>1</v>
      </c>
      <c r="CH33" s="16" t="str">
        <f ca="1">IF(COUNTIFS($CG$6:$CG$53,CG33,$BC$6:$BC$53,INDEX(T_Equipos[Grupo],MATCH(BD33,T_Equipos[NombreEquipo],0)))=1,"-","P."&amp;CG33&amp;" ("&amp;COUNTIFS($CG$6:$CG$53,CG33,$BC$6:$BC$53,INDEX(T_Equipos[Grupo],MATCH(BD33,T_Equipos[NombreEquipo],0)))&amp;")")</f>
        <v>P.1 (4)</v>
      </c>
      <c r="CI33" s="16">
        <f t="shared" ca="1" si="30"/>
        <v>0</v>
      </c>
      <c r="CJ33" s="16">
        <f t="shared" ca="1" si="31"/>
        <v>0</v>
      </c>
      <c r="CK33" s="16">
        <f t="shared" ca="1" si="32"/>
        <v>0</v>
      </c>
      <c r="CL33" s="16">
        <f t="shared" ca="1" si="50"/>
        <v>0</v>
      </c>
      <c r="CM33" s="16">
        <f ca="1">CG33+COUNTIFS($CH$6:$CH$53,CH33,$CL$6:CL$53,"&gt;"&amp;CL33,$BC$6:$BC$53,INDEX(T_Equipos[Grupo],MATCH(BD33,T_Equipos[NombreEquipo],0)))</f>
        <v>1</v>
      </c>
      <c r="CN33" s="16" t="str">
        <f ca="1">IF(COUNTIFS($CM$6:$CM$53,CM33,$BC$6:$BC$53,INDEX(T_Equipos[Grupo],MATCH(BD33,T_Equipos[NombreEquipo],0)))=1,"-","P."&amp;CM33&amp;" ("&amp;COUNTIFS($CM$6:$CM$53,CM33,$BC$6:$BC$53,INDEX(T_Equipos[Grupo],MATCH(BD33,T_Equipos[NombreEquipo],0)))&amp;")")</f>
        <v>P.1 (4)</v>
      </c>
      <c r="CO33" s="16">
        <f t="shared" ca="1" si="33"/>
        <v>0</v>
      </c>
      <c r="CP33" s="16">
        <f t="shared" ca="1" si="34"/>
        <v>0</v>
      </c>
      <c r="CQ33" s="16">
        <f t="shared" ca="1" si="51"/>
        <v>0</v>
      </c>
      <c r="CR33" s="16">
        <f ca="1">CM33+COUNTIFS($CN$6:$CN$53,CN33,$CQ$6:CQ$53,"&gt;"&amp;CQ33,$BC$6:$BC$53,INDEX(T_Equipos[Grupo],MATCH(BD33,T_Equipos[NombreEquipo],0)))</f>
        <v>1</v>
      </c>
      <c r="CS33" s="16" t="str">
        <f ca="1">IF(COUNTIFS($CR$6:$CR$53,CR33,$BC$6:$BC$53,INDEX(T_Equipos[Grupo],MATCH(BD33,T_Equipos[NombreEquipo],0)))=1,"-","P."&amp;CR33&amp;" ("&amp;COUNTIFS($CR$6:$CR$53,CR33,$BC$6:$BC$53,INDEX(T_Equipos[Grupo],MATCH(BD33,T_Equipos[NombreEquipo],0)))&amp;")")</f>
        <v>P.1 (4)</v>
      </c>
      <c r="CT33" s="16">
        <f t="shared" ca="1" si="35"/>
        <v>0</v>
      </c>
      <c r="CU33" s="16">
        <f ca="1">CR33+COUNTIFS($CS$6:$CS$53,CS33,$CT$6:CT$53,"&gt;"&amp;CT33,$BC$6:$BC$53,INDEX(T_Equipos[Grupo],MATCH(BD33,T_Equipos[NombreEquipo],0)))</f>
        <v>1</v>
      </c>
      <c r="CV33" s="16" t="str">
        <f ca="1">IF(COUNTIFS($CU$6:$CU$53,CU33,$BC$6:$BC$53,INDEX(T_Equipos[Grupo],MATCH(BD33,T_Equipos[NombreEquipo],0)))=1,"-","P."&amp;CU33&amp;" ("&amp;COUNTIFS($CU$6:$CU$53,CU33,$BC$6:$BC$53,INDEX(T_Equipos[Grupo],MATCH(BD33,T_Equipos[NombreEquipo],0)))&amp;")")</f>
        <v>P.1 (4)</v>
      </c>
      <c r="CW33" s="16">
        <f t="shared" ca="1" si="36"/>
        <v>0</v>
      </c>
      <c r="CX33" s="16">
        <f ca="1">CU33+COUNTIFS($CV$6:$CV$53,CV33,$CW$6:CW$53,"&gt;"&amp;CW33,$BC$6:$BC$53,INDEX(T_Equipos[Grupo],MATCH(BD33,T_Equipos[NombreEquipo],0)))</f>
        <v>1</v>
      </c>
      <c r="CY33" s="16" t="str">
        <f ca="1">IF(COUNTIFS($CX$6:$CX$53,CX33,$BC$6:$BC$53,INDEX(T_Equipos[Grupo],MATCH(BD33,T_Equipos[NombreEquipo],0)))=1,"-","P."&amp;CX33&amp;" ("&amp;COUNTIFS($CX$6:$CX$53,CX33,$BC$6:$BC$53,INDEX(T_Equipos[Grupo],MATCH(BD33,T_Equipos[NombreEquipo],0)))&amp;")")</f>
        <v>P.1 (4)</v>
      </c>
      <c r="CZ33" s="16">
        <f t="shared" ca="1" si="37"/>
        <v>0</v>
      </c>
      <c r="DA33" s="16">
        <f ca="1">CX33+COUNTIFS($CY$6:$CY$53,CY33,$CZ$6:CZ$53,"&gt;"&amp;CZ33,$BC$6:$BC$53,INDEX(T_Equipos[Grupo],MATCH(BD33,T_Equipos[NombreEquipo],0)))</f>
        <v>1</v>
      </c>
      <c r="DB33" s="16" t="str">
        <f ca="1">IF(COUNTIFS($DA$6:$DA$53,DA33,$BC$6:$BC$53,INDEX(T_Equipos[Grupo],MATCH(BD33,T_Equipos[NombreEquipo],0)))=1,"-","P."&amp;DA33&amp;" ("&amp;COUNTIFS($DA$6:$DA$53,DA33,$BC$6:$BC$53,INDEX(T_Equipos[Grupo],MATCH(BD33,T_Equipos[NombreEquipo],0)))&amp;")")</f>
        <v>P.1 (4)</v>
      </c>
      <c r="DC33" s="16">
        <f ca="1">IF(DB33="-","-",COUNTIFS(T_Equipos[Rank],"&lt;"&amp;INDEX(T_Equipos[Rank],MATCH(BD33,T_Equipos[NombreEquipo],0)),$BC$6:$BC$53,INDEX(T_Equipos[Grupo],MATCH(BD33,T_Equipos[NombreEquipo],0)))+1)</f>
        <v>4</v>
      </c>
      <c r="DD33" s="16">
        <f ca="1">DA33+COUNTIFS($DB$6:$DB$53,DB33,$DC$6:DC$53,"&lt;"&amp;DC33,$BC$6:$BC$53,INDEX(T_Equipos[Grupo],MATCH(BD33,T_Equipos[NombreEquipo],0)))</f>
        <v>4</v>
      </c>
      <c r="DE33" s="16"/>
      <c r="DF33" s="16">
        <f t="shared" ca="1" si="52"/>
        <v>4</v>
      </c>
      <c r="DG33" s="16">
        <f ca="1">IF(DB33="-","-",COUNTIFS(DF$6:DF$53,"&lt;"&amp;DF33,$BC$6:$BC$53,INDEX(T_Equipos[Grupo],MATCH(BD33,T_Equipos[NombreEquipo],0))))</f>
        <v>3</v>
      </c>
      <c r="DH33" s="16">
        <f ca="1">DA33+COUNTIFS(DB$6:DB$53,DB33,DG$6:DG$53,"&lt;"&amp;DG33,$BC$6:$BC$53,INDEX(T_Equipos[Grupo],MATCH(BD33,T_Equipos[NombreEquipo],0)))</f>
        <v>4</v>
      </c>
      <c r="DI33" s="16"/>
      <c r="DJ33" s="16">
        <f t="shared" ca="1" si="38"/>
        <v>1</v>
      </c>
      <c r="DK33" s="16">
        <f t="shared" ca="1" si="39"/>
        <v>0</v>
      </c>
      <c r="DL33" s="16">
        <f t="shared" ca="1" si="40"/>
        <v>1</v>
      </c>
      <c r="DM33" s="16" t="str">
        <f t="shared" ca="1" si="46"/>
        <v>1.1</v>
      </c>
      <c r="DN33" s="16" cm="1">
        <f t="array" aca="1" ref="DN33" ca="1">OFFSET(Horarios!$P$3,DJ33-1,0,DL33,1)</f>
        <v>1</v>
      </c>
      <c r="DO33" s="16"/>
      <c r="DP33" s="16" t="s">
        <v>680</v>
      </c>
      <c r="DQ33" s="16" t="str">
        <f t="shared" ca="1" si="47"/>
        <v>New Zealand</v>
      </c>
    </row>
    <row r="34" spans="1:121" ht="16" customHeight="1" thickBot="1" x14ac:dyDescent="0.25">
      <c r="A34" s="16"/>
      <c r="B34" s="16"/>
      <c r="C34" s="16"/>
      <c r="D34" s="16"/>
      <c r="E34" s="16"/>
      <c r="F34" s="16"/>
      <c r="G34" s="16"/>
      <c r="H34" s="16"/>
      <c r="I34" s="16"/>
      <c r="J34" s="16"/>
      <c r="K34" s="16"/>
      <c r="L34" s="16"/>
      <c r="M34" s="16"/>
      <c r="N34" s="16"/>
      <c r="O34" s="16"/>
      <c r="P34" s="16"/>
      <c r="Q34" s="16"/>
      <c r="R34" s="16"/>
      <c r="S34" s="16"/>
      <c r="T34" s="16"/>
      <c r="U34" s="16"/>
      <c r="V34" s="17"/>
      <c r="W34" s="154"/>
      <c r="X34" s="155"/>
      <c r="Y34" s="154"/>
      <c r="Z34" s="156"/>
      <c r="AA34" s="157"/>
      <c r="AB34" s="158"/>
      <c r="AC34" s="151"/>
      <c r="AD34" s="151"/>
      <c r="AE34" s="158"/>
      <c r="AF34" s="159"/>
      <c r="AG34" s="325"/>
      <c r="AH34" s="195"/>
      <c r="AI34" s="180"/>
      <c r="AJ34" s="160"/>
      <c r="AK34" s="161"/>
      <c r="AL34" s="162"/>
      <c r="AM34" s="163"/>
      <c r="AN34" s="160"/>
      <c r="AO34" s="160"/>
      <c r="AP34" s="160"/>
      <c r="AQ34" s="160"/>
      <c r="AR34" s="160"/>
      <c r="AS34" s="160"/>
      <c r="AT34" s="160"/>
      <c r="AU34" s="330"/>
      <c r="AV34" s="189"/>
      <c r="AW34" s="211"/>
      <c r="AX34" s="171"/>
      <c r="AY34" s="154"/>
      <c r="AZ34" s="155"/>
      <c r="BA34" s="176"/>
      <c r="BC34" s="16" t="str">
        <f ca="1">+INDEX(T_Equipos[Grupo],MATCH(WORLDCUP!BD34,T_Equipos[NombreEquipo],0))</f>
        <v>H</v>
      </c>
      <c r="BD34" s="16" t="str">
        <f ca="1">+Equipos!B30</f>
        <v>Spain</v>
      </c>
      <c r="BE34" s="16">
        <f t="shared" ca="1" si="16"/>
        <v>0</v>
      </c>
      <c r="BF34" s="16">
        <f t="shared" ca="1" si="41"/>
        <v>0</v>
      </c>
      <c r="BG34" s="16">
        <f t="shared" ca="1" si="17"/>
        <v>0</v>
      </c>
      <c r="BH34" s="16">
        <f t="shared" ca="1" si="18"/>
        <v>0</v>
      </c>
      <c r="BI34" s="16">
        <f t="shared" ca="1" si="19"/>
        <v>0</v>
      </c>
      <c r="BJ34" s="16">
        <f t="shared" ca="1" si="20"/>
        <v>0</v>
      </c>
      <c r="BK34" s="16">
        <f t="shared" ca="1" si="21"/>
        <v>0</v>
      </c>
      <c r="BL34" s="16">
        <f t="shared" ca="1" si="42"/>
        <v>0</v>
      </c>
      <c r="BM34" s="16" t="str">
        <f t="shared" ca="1" si="22"/>
        <v>1H</v>
      </c>
      <c r="BN34" s="16" t="str">
        <f t="shared" ca="1" si="23"/>
        <v>1H</v>
      </c>
      <c r="BO34" s="16">
        <f t="shared" ca="1" si="43"/>
        <v>0</v>
      </c>
      <c r="BP34" s="16">
        <f ca="1">COUNTIFS($BO$6:$BO$53,"&gt;"&amp;BO34,$BC$6:$BC$53,INDEX(T_Equipos[Grupo],MATCH(BD34,T_Equipos[NombreEquipo],0)))+1</f>
        <v>1</v>
      </c>
      <c r="BQ34" s="16" t="str">
        <f ca="1">IF(COUNTIFS($BP$6:$BP$53,BP34,$BC$6:$BC$53,INDEX(T_Equipos[Grupo],MATCH(BD34,T_Equipos[NombreEquipo],0)))=1,"-","P."&amp;BP34&amp;" ("&amp;COUNTIFS($BP$6:$BP$53,BP34,$BC$6:$BC$53,INDEX(T_Equipos[Grupo],MATCH(BD34,T_Equipos[NombreEquipo],0)))&amp;")")</f>
        <v>P.1 (4)</v>
      </c>
      <c r="BR34" s="16">
        <f t="shared" ca="1" si="44"/>
        <v>0</v>
      </c>
      <c r="BS34" s="16">
        <f ca="1">BP34+COUNTIFS($BQ$6:$BQ$53,BQ34,$BR$6:BR$53,"&gt;"&amp;BR34,$BC$6:$BC$53,INDEX(T_Equipos[Grupo],MATCH(BD34,T_Equipos[NombreEquipo],0)))</f>
        <v>1</v>
      </c>
      <c r="BT34" s="16" t="str">
        <f ca="1">IF(COUNTIFS($BS$6:$BS$53,BS34,$BC$6:$BC$53,INDEX(T_Equipos[Grupo],MATCH(BD34,T_Equipos[NombreEquipo],0)))=1,"-","P."&amp;BS34&amp;" ("&amp;COUNTIFS($BS$6:$BS$53,BS34,$BC$6:$BC$53,INDEX(T_Equipos[Grupo],MATCH(BD34,T_Equipos[NombreEquipo],0)))&amp;")")</f>
        <v>P.1 (4)</v>
      </c>
      <c r="BU34" s="16">
        <f t="shared" ca="1" si="24"/>
        <v>0</v>
      </c>
      <c r="BV34" s="16">
        <f t="shared" ca="1" si="25"/>
        <v>0</v>
      </c>
      <c r="BW34" s="16">
        <f t="shared" ca="1" si="26"/>
        <v>0</v>
      </c>
      <c r="BX34" s="16">
        <f t="shared" ca="1" si="48"/>
        <v>0</v>
      </c>
      <c r="BY34" s="16">
        <f ca="1">BS34+COUNTIFS($BT$6:$BT$53,BT34,$BX$6:BX$53,"&gt;"&amp;BX34,$BC$6:$BC$53,INDEX(T_Equipos[Grupo],MATCH(BD34,T_Equipos[NombreEquipo],0)))</f>
        <v>1</v>
      </c>
      <c r="BZ34" s="16" t="str">
        <f ca="1">IF(COUNTIFS($BY$6:$BY$53,BY34,$BC$6:$BC$53,INDEX(T_Equipos[Grupo],MATCH(BD34,T_Equipos[NombreEquipo],0)))=1,"-","P."&amp;BY34&amp;" ("&amp;COUNTIFS($BY$6:$BY$53,BY34,$BC$6:$BC$53,INDEX(T_Equipos[Grupo],MATCH(BD34,T_Equipos[NombreEquipo],0)))&amp;")")</f>
        <v>P.1 (4)</v>
      </c>
      <c r="CA34" s="16">
        <f t="shared" ca="1" si="27"/>
        <v>0</v>
      </c>
      <c r="CB34" s="16">
        <f t="shared" ca="1" si="28"/>
        <v>0</v>
      </c>
      <c r="CC34" s="16">
        <f t="shared" ca="1" si="49"/>
        <v>0</v>
      </c>
      <c r="CD34" s="16">
        <f ca="1">BY34+COUNTIFS($BZ$6:$BZ$53,BZ34,$CC$6:CC$53,"&gt;"&amp;CC34,$BC$6:$BC$53,INDEX(T_Equipos[Grupo],MATCH(BD34,T_Equipos[NombreEquipo],0)))</f>
        <v>1</v>
      </c>
      <c r="CE34" s="16" t="str">
        <f ca="1">IF(COUNTIFS($CD$6:$CD$53,CD34,$BC$6:$BC$53,INDEX(T_Equipos[Grupo],MATCH(BD34,T_Equipos[NombreEquipo],0)))=1,"-","P."&amp;CD34&amp;" ("&amp;COUNTIFS($CD$6:$CD$53,CD34,$BC$6:$BC$53,INDEX(T_Equipos[Grupo],MATCH(BD34,T_Equipos[NombreEquipo],0)))&amp;")")</f>
        <v>P.1 (4)</v>
      </c>
      <c r="CF34" s="16">
        <f t="shared" ca="1" si="29"/>
        <v>0</v>
      </c>
      <c r="CG34" s="16">
        <f ca="1">CD34+COUNTIFS($CE$6:$CE$53,CE34,$CF$6:CF$53,"&gt;"&amp;CF34,$BC$6:$BC$53,INDEX(T_Equipos[Grupo],MATCH(BD34,T_Equipos[NombreEquipo],0)))</f>
        <v>1</v>
      </c>
      <c r="CH34" s="16" t="str">
        <f ca="1">IF(COUNTIFS($CG$6:$CG$53,CG34,$BC$6:$BC$53,INDEX(T_Equipos[Grupo],MATCH(BD34,T_Equipos[NombreEquipo],0)))=1,"-","P."&amp;CG34&amp;" ("&amp;COUNTIFS($CG$6:$CG$53,CG34,$BC$6:$BC$53,INDEX(T_Equipos[Grupo],MATCH(BD34,T_Equipos[NombreEquipo],0)))&amp;")")</f>
        <v>P.1 (4)</v>
      </c>
      <c r="CI34" s="16">
        <f t="shared" ca="1" si="30"/>
        <v>0</v>
      </c>
      <c r="CJ34" s="16">
        <f t="shared" ca="1" si="31"/>
        <v>0</v>
      </c>
      <c r="CK34" s="16">
        <f t="shared" ca="1" si="32"/>
        <v>0</v>
      </c>
      <c r="CL34" s="16">
        <f t="shared" ca="1" si="50"/>
        <v>0</v>
      </c>
      <c r="CM34" s="16">
        <f ca="1">CG34+COUNTIFS($CH$6:$CH$53,CH34,$CL$6:CL$53,"&gt;"&amp;CL34,$BC$6:$BC$53,INDEX(T_Equipos[Grupo],MATCH(BD34,T_Equipos[NombreEquipo],0)))</f>
        <v>1</v>
      </c>
      <c r="CN34" s="16" t="str">
        <f ca="1">IF(COUNTIFS($CM$6:$CM$53,CM34,$BC$6:$BC$53,INDEX(T_Equipos[Grupo],MATCH(BD34,T_Equipos[NombreEquipo],0)))=1,"-","P."&amp;CM34&amp;" ("&amp;COUNTIFS($CM$6:$CM$53,CM34,$BC$6:$BC$53,INDEX(T_Equipos[Grupo],MATCH(BD34,T_Equipos[NombreEquipo],0)))&amp;")")</f>
        <v>P.1 (4)</v>
      </c>
      <c r="CO34" s="16">
        <f t="shared" ca="1" si="33"/>
        <v>0</v>
      </c>
      <c r="CP34" s="16">
        <f t="shared" ca="1" si="34"/>
        <v>0</v>
      </c>
      <c r="CQ34" s="16">
        <f t="shared" ca="1" si="51"/>
        <v>0</v>
      </c>
      <c r="CR34" s="16">
        <f ca="1">CM34+COUNTIFS($CN$6:$CN$53,CN34,$CQ$6:CQ$53,"&gt;"&amp;CQ34,$BC$6:$BC$53,INDEX(T_Equipos[Grupo],MATCH(BD34,T_Equipos[NombreEquipo],0)))</f>
        <v>1</v>
      </c>
      <c r="CS34" s="16" t="str">
        <f ca="1">IF(COUNTIFS($CR$6:$CR$53,CR34,$BC$6:$BC$53,INDEX(T_Equipos[Grupo],MATCH(BD34,T_Equipos[NombreEquipo],0)))=1,"-","P."&amp;CR34&amp;" ("&amp;COUNTIFS($CR$6:$CR$53,CR34,$BC$6:$BC$53,INDEX(T_Equipos[Grupo],MATCH(BD34,T_Equipos[NombreEquipo],0)))&amp;")")</f>
        <v>P.1 (4)</v>
      </c>
      <c r="CT34" s="16">
        <f t="shared" ca="1" si="35"/>
        <v>0</v>
      </c>
      <c r="CU34" s="16">
        <f ca="1">CR34+COUNTIFS($CS$6:$CS$53,CS34,$CT$6:CT$53,"&gt;"&amp;CT34,$BC$6:$BC$53,INDEX(T_Equipos[Grupo],MATCH(BD34,T_Equipos[NombreEquipo],0)))</f>
        <v>1</v>
      </c>
      <c r="CV34" s="16" t="str">
        <f ca="1">IF(COUNTIFS($CU$6:$CU$53,CU34,$BC$6:$BC$53,INDEX(T_Equipos[Grupo],MATCH(BD34,T_Equipos[NombreEquipo],0)))=1,"-","P."&amp;CU34&amp;" ("&amp;COUNTIFS($CU$6:$CU$53,CU34,$BC$6:$BC$53,INDEX(T_Equipos[Grupo],MATCH(BD34,T_Equipos[NombreEquipo],0)))&amp;")")</f>
        <v>P.1 (4)</v>
      </c>
      <c r="CW34" s="16">
        <f t="shared" ca="1" si="36"/>
        <v>0</v>
      </c>
      <c r="CX34" s="16">
        <f ca="1">CU34+COUNTIFS($CV$6:$CV$53,CV34,$CW$6:CW$53,"&gt;"&amp;CW34,$BC$6:$BC$53,INDEX(T_Equipos[Grupo],MATCH(BD34,T_Equipos[NombreEquipo],0)))</f>
        <v>1</v>
      </c>
      <c r="CY34" s="16" t="str">
        <f ca="1">IF(COUNTIFS($CX$6:$CX$53,CX34,$BC$6:$BC$53,INDEX(T_Equipos[Grupo],MATCH(BD34,T_Equipos[NombreEquipo],0)))=1,"-","P."&amp;CX34&amp;" ("&amp;COUNTIFS($CX$6:$CX$53,CX34,$BC$6:$BC$53,INDEX(T_Equipos[Grupo],MATCH(BD34,T_Equipos[NombreEquipo],0)))&amp;")")</f>
        <v>P.1 (4)</v>
      </c>
      <c r="CZ34" s="16">
        <f t="shared" ca="1" si="37"/>
        <v>0</v>
      </c>
      <c r="DA34" s="16">
        <f ca="1">CX34+COUNTIFS($CY$6:$CY$53,CY34,$CZ$6:CZ$53,"&gt;"&amp;CZ34,$BC$6:$BC$53,INDEX(T_Equipos[Grupo],MATCH(BD34,T_Equipos[NombreEquipo],0)))</f>
        <v>1</v>
      </c>
      <c r="DB34" s="16" t="str">
        <f ca="1">IF(COUNTIFS($DA$6:$DA$53,DA34,$BC$6:$BC$53,INDEX(T_Equipos[Grupo],MATCH(BD34,T_Equipos[NombreEquipo],0)))=1,"-","P."&amp;DA34&amp;" ("&amp;COUNTIFS($DA$6:$DA$53,DA34,$BC$6:$BC$53,INDEX(T_Equipos[Grupo],MATCH(BD34,T_Equipos[NombreEquipo],0)))&amp;")")</f>
        <v>P.1 (4)</v>
      </c>
      <c r="DC34" s="16">
        <f ca="1">IF(DB34="-","-",COUNTIFS(T_Equipos[Rank],"&lt;"&amp;INDEX(T_Equipos[Rank],MATCH(BD34,T_Equipos[NombreEquipo],0)),$BC$6:$BC$53,INDEX(T_Equipos[Grupo],MATCH(BD34,T_Equipos[NombreEquipo],0)))+1)</f>
        <v>1</v>
      </c>
      <c r="DD34" s="16">
        <f ca="1">DA34+COUNTIFS($DB$6:$DB$53,DB34,$DC$6:DC$53,"&lt;"&amp;DC34,$BC$6:$BC$53,INDEX(T_Equipos[Grupo],MATCH(BD34,T_Equipos[NombreEquipo],0)))</f>
        <v>1</v>
      </c>
      <c r="DE34" s="16"/>
      <c r="DF34" s="16">
        <f t="shared" ca="1" si="52"/>
        <v>1</v>
      </c>
      <c r="DG34" s="16">
        <f ca="1">IF(DB34="-","-",COUNTIFS(DF$6:DF$53,"&lt;"&amp;DF34,$BC$6:$BC$53,INDEX(T_Equipos[Grupo],MATCH(BD34,T_Equipos[NombreEquipo],0))))</f>
        <v>0</v>
      </c>
      <c r="DH34" s="16">
        <f ca="1">DA34+COUNTIFS(DB$6:DB$53,DB34,DG$6:DG$53,"&lt;"&amp;DG34,$BC$6:$BC$53,INDEX(T_Equipos[Grupo],MATCH(BD34,T_Equipos[NombreEquipo],0)))</f>
        <v>1</v>
      </c>
      <c r="DI34" s="16"/>
      <c r="DJ34" s="16">
        <f t="shared" ca="1" si="38"/>
        <v>1</v>
      </c>
      <c r="DK34" s="16">
        <f t="shared" ca="1" si="39"/>
        <v>0</v>
      </c>
      <c r="DL34" s="16">
        <f t="shared" ca="1" si="40"/>
        <v>1</v>
      </c>
      <c r="DM34" s="16" t="str">
        <f t="shared" ca="1" si="46"/>
        <v>1.1</v>
      </c>
      <c r="DN34" s="16" cm="1">
        <f t="array" aca="1" ref="DN34" ca="1">OFFSET(Horarios!$P$3,DJ34-1,0,DL34,1)</f>
        <v>1</v>
      </c>
      <c r="DO34" s="16"/>
      <c r="DP34" s="16" t="s">
        <v>681</v>
      </c>
      <c r="DQ34" s="16" t="str">
        <f t="shared" ca="1" si="47"/>
        <v>Spain</v>
      </c>
    </row>
    <row r="35" spans="1:121" ht="16" customHeight="1" thickBot="1" x14ac:dyDescent="0.25">
      <c r="A35" s="16"/>
      <c r="B35" s="16"/>
      <c r="C35" s="16"/>
      <c r="D35" s="16"/>
      <c r="E35" s="16"/>
      <c r="F35" s="16"/>
      <c r="G35" s="16"/>
      <c r="H35" s="16"/>
      <c r="I35" s="16"/>
      <c r="J35" s="16"/>
      <c r="K35" s="16"/>
      <c r="L35" s="16"/>
      <c r="M35" s="16"/>
      <c r="N35" s="16"/>
      <c r="O35" s="16"/>
      <c r="P35" s="16"/>
      <c r="Q35" s="16"/>
      <c r="R35" s="16"/>
      <c r="S35" s="16"/>
      <c r="T35" s="16"/>
      <c r="U35" s="16"/>
      <c r="V35" s="17"/>
      <c r="W35" s="8"/>
      <c r="X35" s="69" t="str">
        <f>X19</f>
        <v>Date</v>
      </c>
      <c r="Y35" s="69" t="str">
        <f>Y19</f>
        <v>Hour</v>
      </c>
      <c r="Z35" s="55" t="str">
        <f t="shared" ref="Z35:AA35" si="109">Z19</f>
        <v>R</v>
      </c>
      <c r="AA35" s="57" t="str">
        <f t="shared" si="109"/>
        <v>Home</v>
      </c>
      <c r="AB35" s="56"/>
      <c r="AC35" s="55" t="str">
        <f>AC3</f>
        <v>Goal</v>
      </c>
      <c r="AD35" s="55" t="str">
        <f>AD3</f>
        <v>Goal</v>
      </c>
      <c r="AE35" s="56"/>
      <c r="AF35" s="58" t="str">
        <f t="shared" ref="AF35" si="110">AF19</f>
        <v>Away</v>
      </c>
      <c r="AG35" s="324"/>
      <c r="AH35" s="195"/>
      <c r="AI35" s="179"/>
      <c r="AJ35" s="162"/>
      <c r="AK35" s="600"/>
      <c r="AL35" s="162"/>
      <c r="AM35" s="162"/>
      <c r="AN35" s="162"/>
      <c r="AO35" s="162"/>
      <c r="AP35" s="162"/>
      <c r="AQ35" s="162"/>
      <c r="AR35" s="162"/>
      <c r="AS35" s="162"/>
      <c r="AT35" s="162"/>
      <c r="AU35" s="331"/>
      <c r="AV35" s="188"/>
      <c r="AW35" s="212"/>
      <c r="AX35" s="172"/>
      <c r="AY35" s="154"/>
      <c r="AZ35" s="155"/>
      <c r="BA35" s="176"/>
      <c r="BC35" s="16" t="str">
        <f ca="1">+INDEX(T_Equipos[Grupo],MATCH(WORLDCUP!BD35,T_Equipos[NombreEquipo],0))</f>
        <v>H</v>
      </c>
      <c r="BD35" s="16" t="str">
        <f ca="1">+Equipos!B31</f>
        <v>Cape Verde</v>
      </c>
      <c r="BE35" s="16">
        <f t="shared" ca="1" si="16"/>
        <v>0</v>
      </c>
      <c r="BF35" s="16">
        <f t="shared" ca="1" si="41"/>
        <v>0</v>
      </c>
      <c r="BG35" s="16">
        <f t="shared" ca="1" si="17"/>
        <v>0</v>
      </c>
      <c r="BH35" s="16">
        <f t="shared" ca="1" si="18"/>
        <v>0</v>
      </c>
      <c r="BI35" s="16">
        <f t="shared" ca="1" si="19"/>
        <v>0</v>
      </c>
      <c r="BJ35" s="16">
        <f t="shared" ca="1" si="20"/>
        <v>0</v>
      </c>
      <c r="BK35" s="16">
        <f t="shared" ca="1" si="21"/>
        <v>0</v>
      </c>
      <c r="BL35" s="16">
        <f t="shared" ca="1" si="42"/>
        <v>0</v>
      </c>
      <c r="BM35" s="16" t="str">
        <f t="shared" ca="1" si="22"/>
        <v>2H</v>
      </c>
      <c r="BN35" s="16" t="str">
        <f t="shared" ca="1" si="23"/>
        <v>2H</v>
      </c>
      <c r="BO35" s="16">
        <f t="shared" ca="1" si="43"/>
        <v>0</v>
      </c>
      <c r="BP35" s="16">
        <f ca="1">COUNTIFS($BO$6:$BO$53,"&gt;"&amp;BO35,$BC$6:$BC$53,INDEX(T_Equipos[Grupo],MATCH(BD35,T_Equipos[NombreEquipo],0)))+1</f>
        <v>1</v>
      </c>
      <c r="BQ35" s="16" t="str">
        <f ca="1">IF(COUNTIFS($BP$6:$BP$53,BP35,$BC$6:$BC$53,INDEX(T_Equipos[Grupo],MATCH(BD35,T_Equipos[NombreEquipo],0)))=1,"-","P."&amp;BP35&amp;" ("&amp;COUNTIFS($BP$6:$BP$53,BP35,$BC$6:$BC$53,INDEX(T_Equipos[Grupo],MATCH(BD35,T_Equipos[NombreEquipo],0)))&amp;")")</f>
        <v>P.1 (4)</v>
      </c>
      <c r="BR35" s="16">
        <f t="shared" ca="1" si="44"/>
        <v>0</v>
      </c>
      <c r="BS35" s="16">
        <f ca="1">BP35+COUNTIFS($BQ$6:$BQ$53,BQ35,$BR$6:BR$53,"&gt;"&amp;BR35,$BC$6:$BC$53,INDEX(T_Equipos[Grupo],MATCH(BD35,T_Equipos[NombreEquipo],0)))</f>
        <v>1</v>
      </c>
      <c r="BT35" s="16" t="str">
        <f ca="1">IF(COUNTIFS($BS$6:$BS$53,BS35,$BC$6:$BC$53,INDEX(T_Equipos[Grupo],MATCH(BD35,T_Equipos[NombreEquipo],0)))=1,"-","P."&amp;BS35&amp;" ("&amp;COUNTIFS($BS$6:$BS$53,BS35,$BC$6:$BC$53,INDEX(T_Equipos[Grupo],MATCH(BD35,T_Equipos[NombreEquipo],0)))&amp;")")</f>
        <v>P.1 (4)</v>
      </c>
      <c r="BU35" s="16">
        <f t="shared" ca="1" si="24"/>
        <v>0</v>
      </c>
      <c r="BV35" s="16">
        <f t="shared" ca="1" si="25"/>
        <v>0</v>
      </c>
      <c r="BW35" s="16">
        <f t="shared" ca="1" si="26"/>
        <v>0</v>
      </c>
      <c r="BX35" s="16">
        <f t="shared" ca="1" si="48"/>
        <v>0</v>
      </c>
      <c r="BY35" s="16">
        <f ca="1">BS35+COUNTIFS($BT$6:$BT$53,BT35,$BX$6:BX$53,"&gt;"&amp;BX35,$BC$6:$BC$53,INDEX(T_Equipos[Grupo],MATCH(BD35,T_Equipos[NombreEquipo],0)))</f>
        <v>1</v>
      </c>
      <c r="BZ35" s="16" t="str">
        <f ca="1">IF(COUNTIFS($BY$6:$BY$53,BY35,$BC$6:$BC$53,INDEX(T_Equipos[Grupo],MATCH(BD35,T_Equipos[NombreEquipo],0)))=1,"-","P."&amp;BY35&amp;" ("&amp;COUNTIFS($BY$6:$BY$53,BY35,$BC$6:$BC$53,INDEX(T_Equipos[Grupo],MATCH(BD35,T_Equipos[NombreEquipo],0)))&amp;")")</f>
        <v>P.1 (4)</v>
      </c>
      <c r="CA35" s="16">
        <f t="shared" ca="1" si="27"/>
        <v>0</v>
      </c>
      <c r="CB35" s="16">
        <f t="shared" ca="1" si="28"/>
        <v>0</v>
      </c>
      <c r="CC35" s="16">
        <f t="shared" ca="1" si="49"/>
        <v>0</v>
      </c>
      <c r="CD35" s="16">
        <f ca="1">BY35+COUNTIFS($BZ$6:$BZ$53,BZ35,$CC$6:CC$53,"&gt;"&amp;CC35,$BC$6:$BC$53,INDEX(T_Equipos[Grupo],MATCH(BD35,T_Equipos[NombreEquipo],0)))</f>
        <v>1</v>
      </c>
      <c r="CE35" s="16" t="str">
        <f ca="1">IF(COUNTIFS($CD$6:$CD$53,CD35,$BC$6:$BC$53,INDEX(T_Equipos[Grupo],MATCH(BD35,T_Equipos[NombreEquipo],0)))=1,"-","P."&amp;CD35&amp;" ("&amp;COUNTIFS($CD$6:$CD$53,CD35,$BC$6:$BC$53,INDEX(T_Equipos[Grupo],MATCH(BD35,T_Equipos[NombreEquipo],0)))&amp;")")</f>
        <v>P.1 (4)</v>
      </c>
      <c r="CF35" s="16">
        <f t="shared" ca="1" si="29"/>
        <v>0</v>
      </c>
      <c r="CG35" s="16">
        <f ca="1">CD35+COUNTIFS($CE$6:$CE$53,CE35,$CF$6:CF$53,"&gt;"&amp;CF35,$BC$6:$BC$53,INDEX(T_Equipos[Grupo],MATCH(BD35,T_Equipos[NombreEquipo],0)))</f>
        <v>1</v>
      </c>
      <c r="CH35" s="16" t="str">
        <f ca="1">IF(COUNTIFS($CG$6:$CG$53,CG35,$BC$6:$BC$53,INDEX(T_Equipos[Grupo],MATCH(BD35,T_Equipos[NombreEquipo],0)))=1,"-","P."&amp;CG35&amp;" ("&amp;COUNTIFS($CG$6:$CG$53,CG35,$BC$6:$BC$53,INDEX(T_Equipos[Grupo],MATCH(BD35,T_Equipos[NombreEquipo],0)))&amp;")")</f>
        <v>P.1 (4)</v>
      </c>
      <c r="CI35" s="16">
        <f t="shared" ca="1" si="30"/>
        <v>0</v>
      </c>
      <c r="CJ35" s="16">
        <f t="shared" ca="1" si="31"/>
        <v>0</v>
      </c>
      <c r="CK35" s="16">
        <f t="shared" ca="1" si="32"/>
        <v>0</v>
      </c>
      <c r="CL35" s="16">
        <f t="shared" ca="1" si="50"/>
        <v>0</v>
      </c>
      <c r="CM35" s="16">
        <f ca="1">CG35+COUNTIFS($CH$6:$CH$53,CH35,$CL$6:CL$53,"&gt;"&amp;CL35,$BC$6:$BC$53,INDEX(T_Equipos[Grupo],MATCH(BD35,T_Equipos[NombreEquipo],0)))</f>
        <v>1</v>
      </c>
      <c r="CN35" s="16" t="str">
        <f ca="1">IF(COUNTIFS($CM$6:$CM$53,CM35,$BC$6:$BC$53,INDEX(T_Equipos[Grupo],MATCH(BD35,T_Equipos[NombreEquipo],0)))=1,"-","P."&amp;CM35&amp;" ("&amp;COUNTIFS($CM$6:$CM$53,CM35,$BC$6:$BC$53,INDEX(T_Equipos[Grupo],MATCH(BD35,T_Equipos[NombreEquipo],0)))&amp;")")</f>
        <v>P.1 (4)</v>
      </c>
      <c r="CO35" s="16">
        <f t="shared" ca="1" si="33"/>
        <v>0</v>
      </c>
      <c r="CP35" s="16">
        <f t="shared" ca="1" si="34"/>
        <v>0</v>
      </c>
      <c r="CQ35" s="16">
        <f t="shared" ca="1" si="51"/>
        <v>0</v>
      </c>
      <c r="CR35" s="16">
        <f ca="1">CM35+COUNTIFS($CN$6:$CN$53,CN35,$CQ$6:CQ$53,"&gt;"&amp;CQ35,$BC$6:$BC$53,INDEX(T_Equipos[Grupo],MATCH(BD35,T_Equipos[NombreEquipo],0)))</f>
        <v>1</v>
      </c>
      <c r="CS35" s="16" t="str">
        <f ca="1">IF(COUNTIFS($CR$6:$CR$53,CR35,$BC$6:$BC$53,INDEX(T_Equipos[Grupo],MATCH(BD35,T_Equipos[NombreEquipo],0)))=1,"-","P."&amp;CR35&amp;" ("&amp;COUNTIFS($CR$6:$CR$53,CR35,$BC$6:$BC$53,INDEX(T_Equipos[Grupo],MATCH(BD35,T_Equipos[NombreEquipo],0)))&amp;")")</f>
        <v>P.1 (4)</v>
      </c>
      <c r="CT35" s="16">
        <f t="shared" ca="1" si="35"/>
        <v>0</v>
      </c>
      <c r="CU35" s="16">
        <f ca="1">CR35+COUNTIFS($CS$6:$CS$53,CS35,$CT$6:CT$53,"&gt;"&amp;CT35,$BC$6:$BC$53,INDEX(T_Equipos[Grupo],MATCH(BD35,T_Equipos[NombreEquipo],0)))</f>
        <v>1</v>
      </c>
      <c r="CV35" s="16" t="str">
        <f ca="1">IF(COUNTIFS($CU$6:$CU$53,CU35,$BC$6:$BC$53,INDEX(T_Equipos[Grupo],MATCH(BD35,T_Equipos[NombreEquipo],0)))=1,"-","P."&amp;CU35&amp;" ("&amp;COUNTIFS($CU$6:$CU$53,CU35,$BC$6:$BC$53,INDEX(T_Equipos[Grupo],MATCH(BD35,T_Equipos[NombreEquipo],0)))&amp;")")</f>
        <v>P.1 (4)</v>
      </c>
      <c r="CW35" s="16">
        <f t="shared" ca="1" si="36"/>
        <v>0</v>
      </c>
      <c r="CX35" s="16">
        <f ca="1">CU35+COUNTIFS($CV$6:$CV$53,CV35,$CW$6:CW$53,"&gt;"&amp;CW35,$BC$6:$BC$53,INDEX(T_Equipos[Grupo],MATCH(BD35,T_Equipos[NombreEquipo],0)))</f>
        <v>1</v>
      </c>
      <c r="CY35" s="16" t="str">
        <f ca="1">IF(COUNTIFS($CX$6:$CX$53,CX35,$BC$6:$BC$53,INDEX(T_Equipos[Grupo],MATCH(BD35,T_Equipos[NombreEquipo],0)))=1,"-","P."&amp;CX35&amp;" ("&amp;COUNTIFS($CX$6:$CX$53,CX35,$BC$6:$BC$53,INDEX(T_Equipos[Grupo],MATCH(BD35,T_Equipos[NombreEquipo],0)))&amp;")")</f>
        <v>P.1 (4)</v>
      </c>
      <c r="CZ35" s="16">
        <f t="shared" ca="1" si="37"/>
        <v>0</v>
      </c>
      <c r="DA35" s="16">
        <f ca="1">CX35+COUNTIFS($CY$6:$CY$53,CY35,$CZ$6:CZ$53,"&gt;"&amp;CZ35,$BC$6:$BC$53,INDEX(T_Equipos[Grupo],MATCH(BD35,T_Equipos[NombreEquipo],0)))</f>
        <v>1</v>
      </c>
      <c r="DB35" s="16" t="str">
        <f ca="1">IF(COUNTIFS($DA$6:$DA$53,DA35,$BC$6:$BC$53,INDEX(T_Equipos[Grupo],MATCH(BD35,T_Equipos[NombreEquipo],0)))=1,"-","P."&amp;DA35&amp;" ("&amp;COUNTIFS($DA$6:$DA$53,DA35,$BC$6:$BC$53,INDEX(T_Equipos[Grupo],MATCH(BD35,T_Equipos[NombreEquipo],0)))&amp;")")</f>
        <v>P.1 (4)</v>
      </c>
      <c r="DC35" s="16">
        <f ca="1">IF(DB35="-","-",COUNTIFS(T_Equipos[Rank],"&lt;"&amp;INDEX(T_Equipos[Rank],MATCH(BD35,T_Equipos[NombreEquipo],0)),$BC$6:$BC$53,INDEX(T_Equipos[Grupo],MATCH(BD35,T_Equipos[NombreEquipo],0)))+1)</f>
        <v>2</v>
      </c>
      <c r="DD35" s="16">
        <f ca="1">DA35+COUNTIFS($DB$6:$DB$53,DB35,$DC$6:DC$53,"&lt;"&amp;DC35,$BC$6:$BC$53,INDEX(T_Equipos[Grupo],MATCH(BD35,T_Equipos[NombreEquipo],0)))</f>
        <v>2</v>
      </c>
      <c r="DE35" s="16"/>
      <c r="DF35" s="16">
        <f t="shared" ca="1" si="52"/>
        <v>2</v>
      </c>
      <c r="DG35" s="16">
        <f ca="1">IF(DB35="-","-",COUNTIFS(DF$6:DF$53,"&lt;"&amp;DF35,$BC$6:$BC$53,INDEX(T_Equipos[Grupo],MATCH(BD35,T_Equipos[NombreEquipo],0))))</f>
        <v>1</v>
      </c>
      <c r="DH35" s="16">
        <f ca="1">DA35+COUNTIFS(DB$6:DB$53,DB35,DG$6:DG$53,"&lt;"&amp;DG35,$BC$6:$BC$53,INDEX(T_Equipos[Grupo],MATCH(BD35,T_Equipos[NombreEquipo],0)))</f>
        <v>2</v>
      </c>
      <c r="DI35" s="16"/>
      <c r="DJ35" s="16">
        <f t="shared" ca="1" si="38"/>
        <v>1</v>
      </c>
      <c r="DK35" s="16">
        <f t="shared" ca="1" si="39"/>
        <v>0</v>
      </c>
      <c r="DL35" s="16">
        <f t="shared" ca="1" si="40"/>
        <v>1</v>
      </c>
      <c r="DM35" s="16" t="str">
        <f t="shared" ca="1" si="46"/>
        <v>1.1</v>
      </c>
      <c r="DN35" s="16" cm="1">
        <f t="array" aca="1" ref="DN35" ca="1">OFFSET(Horarios!$P$3,DJ35-1,0,DL35,1)</f>
        <v>1</v>
      </c>
      <c r="DO35" s="16"/>
      <c r="DP35" s="16" t="s">
        <v>682</v>
      </c>
      <c r="DQ35" s="16" t="str">
        <f t="shared" ca="1" si="47"/>
        <v>Cape Verde</v>
      </c>
    </row>
    <row r="36" spans="1:121" ht="16" customHeight="1" thickBot="1" x14ac:dyDescent="0.25">
      <c r="A36" s="16" t="s">
        <v>32</v>
      </c>
      <c r="B36" s="16" t="s">
        <v>3</v>
      </c>
      <c r="C36" s="16">
        <f>COUNTIF(Equipos!$C$2:$C$49,WORLDCUP!B36)</f>
        <v>4</v>
      </c>
      <c r="D36" s="16" t="str">
        <f t="shared" ref="D36:D41" si="111">IF(OR(AC36="",AD36=""),"Pendiente",IF(AC36&gt;AD36,"Local",IF(AC36&lt;AD36,"Visitante","Empate")))</f>
        <v>Pendiente</v>
      </c>
      <c r="E36" s="16" t="str">
        <f t="shared" ref="E36:E41" si="112">IF(D36="Pendiente","-",INDEX($BT$6:$BT$53,MATCH($AA36,$BD$6:$BD$53,0)))</f>
        <v>-</v>
      </c>
      <c r="F36" s="16" t="str">
        <f t="shared" ref="F36:F41" si="113">IF(D36="Pendiente","-",INDEX($BT$6:$BT$53,MATCH($AF36,$BD$6:$BD$53,0)))</f>
        <v>-</v>
      </c>
      <c r="G36" s="16"/>
      <c r="H36" s="16" t="str">
        <f t="shared" ref="H36:H41" si="114">IF(D36="Pendiente","-",INDEX($BZ$6:$BZ$53,MATCH($AA36,$BD$6:$BD$53,0)))</f>
        <v>-</v>
      </c>
      <c r="I36" s="16" t="str">
        <f t="shared" ref="I36:I41" si="115">IF(D36="Pendiente","-",INDEX($BZ$6:$BZ$53,MATCH($AF36,$BD$6:$BD$53,0)))</f>
        <v>-</v>
      </c>
      <c r="J36" s="16"/>
      <c r="K36" s="16" t="str">
        <f t="shared" ref="K36:K41" si="116">IF(D36="Pendiente","-",INDEX($CE$6:$CE$53,MATCH($AA36,$BD$6:$BD$53,0)))</f>
        <v>-</v>
      </c>
      <c r="L36" s="16" t="str">
        <f t="shared" ref="L36:L41" si="117">IF(D36="Pendiente","-",INDEX($CE$6:$CE$53,MATCH($AF36,$BD$6:$BD$53,0)))</f>
        <v>-</v>
      </c>
      <c r="M36" s="16"/>
      <c r="N36" s="16" t="str">
        <f t="shared" ref="N36:N41" si="118">IF(D36="Pendiente","-",INDEX($CH$6:$CH$53,MATCH($AA36,$BD$6:$BD$53,0)))</f>
        <v>-</v>
      </c>
      <c r="O36" s="16" t="str">
        <f t="shared" ref="O36:O41" si="119">IF(D36="Pendiente","-",INDEX($CH$6:$CH$53,MATCH($AF36,$BD$6:$BD$53,0)))</f>
        <v>-</v>
      </c>
      <c r="P36" s="16"/>
      <c r="Q36" s="16" t="str">
        <f t="shared" ref="Q36:Q41" si="120">IF(D36="Pendiente","-",INDEX($CN$6:$CN$53,MATCH($AA36,$BD$6:$BD$53,0)))</f>
        <v>-</v>
      </c>
      <c r="R36" s="16" t="str">
        <f t="shared" ref="R36:R41" si="121">IF(D36="Pendiente","-",INDEX($CN$6:$CN$53,MATCH($AF36,$BD$6:$BD$53,0)))</f>
        <v>-</v>
      </c>
      <c r="S36" s="16"/>
      <c r="T36" s="16" t="str">
        <f t="shared" ref="T36:T41" si="122">IF(D36="Pendiente","-",INDEX($CS$6:$CS$53,MATCH($AA36,$BD$6:$BD$53,0)))</f>
        <v>-</v>
      </c>
      <c r="U36" s="16" t="str">
        <f t="shared" ref="U36:U41" si="123">IF(D36="Pendiente","-",INDEX($CS$6:$CS$53,MATCH($AF36,$BD$6:$BD$53,0)))</f>
        <v>-</v>
      </c>
      <c r="V36" s="17"/>
      <c r="W36" s="653" t="s">
        <v>3</v>
      </c>
      <c r="X36" s="24">
        <f ca="1">Horarios!C36</f>
        <v>46187.541666666664</v>
      </c>
      <c r="Y36" s="25">
        <f ca="1">Horarios!C36</f>
        <v>46187.541666666664</v>
      </c>
      <c r="Z36" s="26" t="str">
        <f>$Z$4</f>
        <v>R1</v>
      </c>
      <c r="AA36" s="27" t="str">
        <f ca="1">A37</f>
        <v>Germany</v>
      </c>
      <c r="AB36" s="49" t="str" cm="1">
        <f t="array" aca="1" ref="AB36" ca="1">Ver_flag_local</f>
        <v>🇩🇪</v>
      </c>
      <c r="AC36" s="50"/>
      <c r="AD36" s="51"/>
      <c r="AE36" s="595" t="str" cm="1">
        <f t="array" aca="1" ref="AE36" ca="1">Ver_flag_visit</f>
        <v>🇨🇼</v>
      </c>
      <c r="AF36" s="32" t="str">
        <f ca="1">A38</f>
        <v>Curaçao</v>
      </c>
      <c r="AG36" s="323">
        <f t="shared" ref="AG36:AG41" si="124">IF(NOT(OR(ISBLANK(AC36),ISBLANK(AD36))),1,0)</f>
        <v>0</v>
      </c>
      <c r="AH36" s="195">
        <v>10</v>
      </c>
      <c r="AI36" s="181"/>
      <c r="AJ36" s="59" t="str">
        <f>CONCATENATE(AJ3," ",B36)</f>
        <v>Group E</v>
      </c>
      <c r="AK36" s="60"/>
      <c r="AL36" s="60"/>
      <c r="AM36" s="60"/>
      <c r="AN36" s="60"/>
      <c r="AO36" s="60"/>
      <c r="AP36" s="60"/>
      <c r="AQ36" s="60"/>
      <c r="AR36" s="60"/>
      <c r="AS36" s="60"/>
      <c r="AT36" s="61"/>
      <c r="AU36" s="331"/>
      <c r="AV36" s="286" t="str">
        <f ca="1">IF(AU37&gt;0,$AV$3,"")</f>
        <v/>
      </c>
      <c r="AW36" s="167"/>
      <c r="AX36" s="167"/>
      <c r="AY36" s="154"/>
      <c r="AZ36" s="155"/>
      <c r="BA36" s="176"/>
      <c r="BC36" s="16" t="str">
        <f ca="1">+INDEX(T_Equipos[Grupo],MATCH(WORLDCUP!BD36,T_Equipos[NombreEquipo],0))</f>
        <v>H</v>
      </c>
      <c r="BD36" s="16" t="str">
        <f ca="1">+Equipos!B32</f>
        <v>Saudi Arabia</v>
      </c>
      <c r="BE36" s="16">
        <f t="shared" ca="1" si="16"/>
        <v>0</v>
      </c>
      <c r="BF36" s="16">
        <f t="shared" ca="1" si="41"/>
        <v>0</v>
      </c>
      <c r="BG36" s="16">
        <f t="shared" ca="1" si="17"/>
        <v>0</v>
      </c>
      <c r="BH36" s="16">
        <f t="shared" ca="1" si="18"/>
        <v>0</v>
      </c>
      <c r="BI36" s="16">
        <f t="shared" ca="1" si="19"/>
        <v>0</v>
      </c>
      <c r="BJ36" s="16">
        <f t="shared" ca="1" si="20"/>
        <v>0</v>
      </c>
      <c r="BK36" s="16">
        <f t="shared" ca="1" si="21"/>
        <v>0</v>
      </c>
      <c r="BL36" s="16">
        <f t="shared" ca="1" si="42"/>
        <v>0</v>
      </c>
      <c r="BM36" s="16" t="str">
        <f t="shared" ca="1" si="22"/>
        <v>3H</v>
      </c>
      <c r="BN36" s="16" t="str">
        <f t="shared" ca="1" si="23"/>
        <v>3H</v>
      </c>
      <c r="BO36" s="16">
        <f t="shared" ca="1" si="43"/>
        <v>0</v>
      </c>
      <c r="BP36" s="16">
        <f ca="1">COUNTIFS($BO$6:$BO$53,"&gt;"&amp;BO36,$BC$6:$BC$53,INDEX(T_Equipos[Grupo],MATCH(BD36,T_Equipos[NombreEquipo],0)))+1</f>
        <v>1</v>
      </c>
      <c r="BQ36" s="16" t="str">
        <f ca="1">IF(COUNTIFS($BP$6:$BP$53,BP36,$BC$6:$BC$53,INDEX(T_Equipos[Grupo],MATCH(BD36,T_Equipos[NombreEquipo],0)))=1,"-","P."&amp;BP36&amp;" ("&amp;COUNTIFS($BP$6:$BP$53,BP36,$BC$6:$BC$53,INDEX(T_Equipos[Grupo],MATCH(BD36,T_Equipos[NombreEquipo],0)))&amp;")")</f>
        <v>P.1 (4)</v>
      </c>
      <c r="BR36" s="16">
        <f t="shared" ca="1" si="44"/>
        <v>0</v>
      </c>
      <c r="BS36" s="16">
        <f ca="1">BP36+COUNTIFS($BQ$6:$BQ$53,BQ36,$BR$6:BR$53,"&gt;"&amp;BR36,$BC$6:$BC$53,INDEX(T_Equipos[Grupo],MATCH(BD36,T_Equipos[NombreEquipo],0)))</f>
        <v>1</v>
      </c>
      <c r="BT36" s="16" t="str">
        <f ca="1">IF(COUNTIFS($BS$6:$BS$53,BS36,$BC$6:$BC$53,INDEX(T_Equipos[Grupo],MATCH(BD36,T_Equipos[NombreEquipo],0)))=1,"-","P."&amp;BS36&amp;" ("&amp;COUNTIFS($BS$6:$BS$53,BS36,$BC$6:$BC$53,INDEX(T_Equipos[Grupo],MATCH(BD36,T_Equipos[NombreEquipo],0)))&amp;")")</f>
        <v>P.1 (4)</v>
      </c>
      <c r="BU36" s="16">
        <f t="shared" ca="1" si="24"/>
        <v>0</v>
      </c>
      <c r="BV36" s="16">
        <f t="shared" ca="1" si="25"/>
        <v>0</v>
      </c>
      <c r="BW36" s="16">
        <f t="shared" ca="1" si="26"/>
        <v>0</v>
      </c>
      <c r="BX36" s="16">
        <f t="shared" ca="1" si="48"/>
        <v>0</v>
      </c>
      <c r="BY36" s="16">
        <f ca="1">BS36+COUNTIFS($BT$6:$BT$53,BT36,$BX$6:BX$53,"&gt;"&amp;BX36,$BC$6:$BC$53,INDEX(T_Equipos[Grupo],MATCH(BD36,T_Equipos[NombreEquipo],0)))</f>
        <v>1</v>
      </c>
      <c r="BZ36" s="16" t="str">
        <f ca="1">IF(COUNTIFS($BY$6:$BY$53,BY36,$BC$6:$BC$53,INDEX(T_Equipos[Grupo],MATCH(BD36,T_Equipos[NombreEquipo],0)))=1,"-","P."&amp;BY36&amp;" ("&amp;COUNTIFS($BY$6:$BY$53,BY36,$BC$6:$BC$53,INDEX(T_Equipos[Grupo],MATCH(BD36,T_Equipos[NombreEquipo],0)))&amp;")")</f>
        <v>P.1 (4)</v>
      </c>
      <c r="CA36" s="16">
        <f t="shared" ca="1" si="27"/>
        <v>0</v>
      </c>
      <c r="CB36" s="16">
        <f t="shared" ca="1" si="28"/>
        <v>0</v>
      </c>
      <c r="CC36" s="16">
        <f t="shared" ca="1" si="49"/>
        <v>0</v>
      </c>
      <c r="CD36" s="16">
        <f ca="1">BY36+COUNTIFS($BZ$6:$BZ$53,BZ36,$CC$6:CC$53,"&gt;"&amp;CC36,$BC$6:$BC$53,INDEX(T_Equipos[Grupo],MATCH(BD36,T_Equipos[NombreEquipo],0)))</f>
        <v>1</v>
      </c>
      <c r="CE36" s="16" t="str">
        <f ca="1">IF(COUNTIFS($CD$6:$CD$53,CD36,$BC$6:$BC$53,INDEX(T_Equipos[Grupo],MATCH(BD36,T_Equipos[NombreEquipo],0)))=1,"-","P."&amp;CD36&amp;" ("&amp;COUNTIFS($CD$6:$CD$53,CD36,$BC$6:$BC$53,INDEX(T_Equipos[Grupo],MATCH(BD36,T_Equipos[NombreEquipo],0)))&amp;")")</f>
        <v>P.1 (4)</v>
      </c>
      <c r="CF36" s="16">
        <f t="shared" ca="1" si="29"/>
        <v>0</v>
      </c>
      <c r="CG36" s="16">
        <f ca="1">CD36+COUNTIFS($CE$6:$CE$53,CE36,$CF$6:CF$53,"&gt;"&amp;CF36,$BC$6:$BC$53,INDEX(T_Equipos[Grupo],MATCH(BD36,T_Equipos[NombreEquipo],0)))</f>
        <v>1</v>
      </c>
      <c r="CH36" s="16" t="str">
        <f ca="1">IF(COUNTIFS($CG$6:$CG$53,CG36,$BC$6:$BC$53,INDEX(T_Equipos[Grupo],MATCH(BD36,T_Equipos[NombreEquipo],0)))=1,"-","P."&amp;CG36&amp;" ("&amp;COUNTIFS($CG$6:$CG$53,CG36,$BC$6:$BC$53,INDEX(T_Equipos[Grupo],MATCH(BD36,T_Equipos[NombreEquipo],0)))&amp;")")</f>
        <v>P.1 (4)</v>
      </c>
      <c r="CI36" s="16">
        <f t="shared" ca="1" si="30"/>
        <v>0</v>
      </c>
      <c r="CJ36" s="16">
        <f t="shared" ca="1" si="31"/>
        <v>0</v>
      </c>
      <c r="CK36" s="16">
        <f t="shared" ca="1" si="32"/>
        <v>0</v>
      </c>
      <c r="CL36" s="16">
        <f t="shared" ca="1" si="50"/>
        <v>0</v>
      </c>
      <c r="CM36" s="16">
        <f ca="1">CG36+COUNTIFS($CH$6:$CH$53,CH36,$CL$6:CL$53,"&gt;"&amp;CL36,$BC$6:$BC$53,INDEX(T_Equipos[Grupo],MATCH(BD36,T_Equipos[NombreEquipo],0)))</f>
        <v>1</v>
      </c>
      <c r="CN36" s="16" t="str">
        <f ca="1">IF(COUNTIFS($CM$6:$CM$53,CM36,$BC$6:$BC$53,INDEX(T_Equipos[Grupo],MATCH(BD36,T_Equipos[NombreEquipo],0)))=1,"-","P."&amp;CM36&amp;" ("&amp;COUNTIFS($CM$6:$CM$53,CM36,$BC$6:$BC$53,INDEX(T_Equipos[Grupo],MATCH(BD36,T_Equipos[NombreEquipo],0)))&amp;")")</f>
        <v>P.1 (4)</v>
      </c>
      <c r="CO36" s="16">
        <f t="shared" ca="1" si="33"/>
        <v>0</v>
      </c>
      <c r="CP36" s="16">
        <f t="shared" ca="1" si="34"/>
        <v>0</v>
      </c>
      <c r="CQ36" s="16">
        <f t="shared" ca="1" si="51"/>
        <v>0</v>
      </c>
      <c r="CR36" s="16">
        <f ca="1">CM36+COUNTIFS($CN$6:$CN$53,CN36,$CQ$6:CQ$53,"&gt;"&amp;CQ36,$BC$6:$BC$53,INDEX(T_Equipos[Grupo],MATCH(BD36,T_Equipos[NombreEquipo],0)))</f>
        <v>1</v>
      </c>
      <c r="CS36" s="16" t="str">
        <f ca="1">IF(COUNTIFS($CR$6:$CR$53,CR36,$BC$6:$BC$53,INDEX(T_Equipos[Grupo],MATCH(BD36,T_Equipos[NombreEquipo],0)))=1,"-","P."&amp;CR36&amp;" ("&amp;COUNTIFS($CR$6:$CR$53,CR36,$BC$6:$BC$53,INDEX(T_Equipos[Grupo],MATCH(BD36,T_Equipos[NombreEquipo],0)))&amp;")")</f>
        <v>P.1 (4)</v>
      </c>
      <c r="CT36" s="16">
        <f t="shared" ca="1" si="35"/>
        <v>0</v>
      </c>
      <c r="CU36" s="16">
        <f ca="1">CR36+COUNTIFS($CS$6:$CS$53,CS36,$CT$6:CT$53,"&gt;"&amp;CT36,$BC$6:$BC$53,INDEX(T_Equipos[Grupo],MATCH(BD36,T_Equipos[NombreEquipo],0)))</f>
        <v>1</v>
      </c>
      <c r="CV36" s="16" t="str">
        <f ca="1">IF(COUNTIFS($CU$6:$CU$53,CU36,$BC$6:$BC$53,INDEX(T_Equipos[Grupo],MATCH(BD36,T_Equipos[NombreEquipo],0)))=1,"-","P."&amp;CU36&amp;" ("&amp;COUNTIFS($CU$6:$CU$53,CU36,$BC$6:$BC$53,INDEX(T_Equipos[Grupo],MATCH(BD36,T_Equipos[NombreEquipo],0)))&amp;")")</f>
        <v>P.1 (4)</v>
      </c>
      <c r="CW36" s="16">
        <f t="shared" ca="1" si="36"/>
        <v>0</v>
      </c>
      <c r="CX36" s="16">
        <f ca="1">CU36+COUNTIFS($CV$6:$CV$53,CV36,$CW$6:CW$53,"&gt;"&amp;CW36,$BC$6:$BC$53,INDEX(T_Equipos[Grupo],MATCH(BD36,T_Equipos[NombreEquipo],0)))</f>
        <v>1</v>
      </c>
      <c r="CY36" s="16" t="str">
        <f ca="1">IF(COUNTIFS($CX$6:$CX$53,CX36,$BC$6:$BC$53,INDEX(T_Equipos[Grupo],MATCH(BD36,T_Equipos[NombreEquipo],0)))=1,"-","P."&amp;CX36&amp;" ("&amp;COUNTIFS($CX$6:$CX$53,CX36,$BC$6:$BC$53,INDEX(T_Equipos[Grupo],MATCH(BD36,T_Equipos[NombreEquipo],0)))&amp;")")</f>
        <v>P.1 (4)</v>
      </c>
      <c r="CZ36" s="16">
        <f t="shared" ca="1" si="37"/>
        <v>0</v>
      </c>
      <c r="DA36" s="16">
        <f ca="1">CX36+COUNTIFS($CY$6:$CY$53,CY36,$CZ$6:CZ$53,"&gt;"&amp;CZ36,$BC$6:$BC$53,INDEX(T_Equipos[Grupo],MATCH(BD36,T_Equipos[NombreEquipo],0)))</f>
        <v>1</v>
      </c>
      <c r="DB36" s="16" t="str">
        <f ca="1">IF(COUNTIFS($DA$6:$DA$53,DA36,$BC$6:$BC$53,INDEX(T_Equipos[Grupo],MATCH(BD36,T_Equipos[NombreEquipo],0)))=1,"-","P."&amp;DA36&amp;" ("&amp;COUNTIFS($DA$6:$DA$53,DA36,$BC$6:$BC$53,INDEX(T_Equipos[Grupo],MATCH(BD36,T_Equipos[NombreEquipo],0)))&amp;")")</f>
        <v>P.1 (4)</v>
      </c>
      <c r="DC36" s="16">
        <f ca="1">IF(DB36="-","-",COUNTIFS(T_Equipos[Rank],"&lt;"&amp;INDEX(T_Equipos[Rank],MATCH(BD36,T_Equipos[NombreEquipo],0)),$BC$6:$BC$53,INDEX(T_Equipos[Grupo],MATCH(BD36,T_Equipos[NombreEquipo],0)))+1)</f>
        <v>3</v>
      </c>
      <c r="DD36" s="16">
        <f ca="1">DA36+COUNTIFS($DB$6:$DB$53,DB36,$DC$6:DC$53,"&lt;"&amp;DC36,$BC$6:$BC$53,INDEX(T_Equipos[Grupo],MATCH(BD36,T_Equipos[NombreEquipo],0)))</f>
        <v>3</v>
      </c>
      <c r="DE36" s="16"/>
      <c r="DF36" s="16">
        <f t="shared" ca="1" si="52"/>
        <v>3</v>
      </c>
      <c r="DG36" s="16">
        <f ca="1">IF(DB36="-","-",COUNTIFS(DF$6:DF$53,"&lt;"&amp;DF36,$BC$6:$BC$53,INDEX(T_Equipos[Grupo],MATCH(BD36,T_Equipos[NombreEquipo],0))))</f>
        <v>2</v>
      </c>
      <c r="DH36" s="16">
        <f ca="1">DA36+COUNTIFS(DB$6:DB$53,DB36,DG$6:DG$53,"&lt;"&amp;DG36,$BC$6:$BC$53,INDEX(T_Equipos[Grupo],MATCH(BD36,T_Equipos[NombreEquipo],0)))</f>
        <v>3</v>
      </c>
      <c r="DI36" s="16"/>
      <c r="DJ36" s="16">
        <f t="shared" ca="1" si="38"/>
        <v>1</v>
      </c>
      <c r="DK36" s="16">
        <f t="shared" ca="1" si="39"/>
        <v>0</v>
      </c>
      <c r="DL36" s="16">
        <f t="shared" ca="1" si="40"/>
        <v>1</v>
      </c>
      <c r="DM36" s="16" t="str">
        <f t="shared" ca="1" si="46"/>
        <v>1.1</v>
      </c>
      <c r="DN36" s="16" cm="1">
        <f t="array" aca="1" ref="DN36" ca="1">OFFSET(Horarios!$P$3,DJ36-1,0,DL36,1)</f>
        <v>1</v>
      </c>
      <c r="DO36" s="16"/>
      <c r="DP36" s="16" t="s">
        <v>446</v>
      </c>
      <c r="DQ36" s="16" t="str">
        <f t="shared" ca="1" si="47"/>
        <v>Saudi Arabia</v>
      </c>
    </row>
    <row r="37" spans="1:121" ht="16" customHeight="1" x14ac:dyDescent="0.2">
      <c r="A37" s="16" t="str">
        <f ca="1">+Equipos!B18</f>
        <v>Germany</v>
      </c>
      <c r="B37" s="16"/>
      <c r="C37" s="16"/>
      <c r="D37" s="16" t="str">
        <f t="shared" si="111"/>
        <v>Pendiente</v>
      </c>
      <c r="E37" s="16" t="str">
        <f t="shared" si="112"/>
        <v>-</v>
      </c>
      <c r="F37" s="16" t="str">
        <f t="shared" si="113"/>
        <v>-</v>
      </c>
      <c r="G37" s="16"/>
      <c r="H37" s="16" t="str">
        <f t="shared" si="114"/>
        <v>-</v>
      </c>
      <c r="I37" s="16" t="str">
        <f t="shared" si="115"/>
        <v>-</v>
      </c>
      <c r="J37" s="16"/>
      <c r="K37" s="16" t="str">
        <f t="shared" si="116"/>
        <v>-</v>
      </c>
      <c r="L37" s="16" t="str">
        <f t="shared" si="117"/>
        <v>-</v>
      </c>
      <c r="M37" s="16"/>
      <c r="N37" s="16" t="str">
        <f t="shared" si="118"/>
        <v>-</v>
      </c>
      <c r="O37" s="16" t="str">
        <f t="shared" si="119"/>
        <v>-</v>
      </c>
      <c r="P37" s="16"/>
      <c r="Q37" s="16" t="str">
        <f t="shared" si="120"/>
        <v>-</v>
      </c>
      <c r="R37" s="16" t="str">
        <f t="shared" si="121"/>
        <v>-</v>
      </c>
      <c r="S37" s="16"/>
      <c r="T37" s="16" t="str">
        <f t="shared" si="122"/>
        <v>-</v>
      </c>
      <c r="U37" s="16" t="str">
        <f t="shared" si="123"/>
        <v>-</v>
      </c>
      <c r="V37" s="17"/>
      <c r="W37" s="653"/>
      <c r="X37" s="24">
        <f ca="1">Horarios!C37</f>
        <v>46187.791666666664</v>
      </c>
      <c r="Y37" s="25">
        <f ca="1">Horarios!C37</f>
        <v>46187.791666666664</v>
      </c>
      <c r="Z37" s="26" t="str">
        <f>$Z$4</f>
        <v>R1</v>
      </c>
      <c r="AA37" s="27" t="str">
        <f ca="1">A39</f>
        <v>Ivory Coast</v>
      </c>
      <c r="AB37" s="49" t="str" cm="1">
        <f t="array" aca="1" ref="AB37" ca="1">Ver_flag_local</f>
        <v>🇨🇮</v>
      </c>
      <c r="AC37" s="50"/>
      <c r="AD37" s="51"/>
      <c r="AE37" s="595" t="str" cm="1">
        <f t="array" aca="1" ref="AE37" ca="1">Ver_flag_visit</f>
        <v>🇪🇨</v>
      </c>
      <c r="AF37" s="32" t="str">
        <f ca="1">A40</f>
        <v>Ecuador</v>
      </c>
      <c r="AG37" s="323">
        <f t="shared" si="124"/>
        <v>0</v>
      </c>
      <c r="AH37" s="195">
        <v>9</v>
      </c>
      <c r="AI37" s="181"/>
      <c r="AJ37" s="62" t="str">
        <f>AJ5</f>
        <v>Pos</v>
      </c>
      <c r="AK37" s="63"/>
      <c r="AL37" s="64" t="str">
        <f t="shared" ref="AL37:AT37" si="125">AL5</f>
        <v>Nation</v>
      </c>
      <c r="AM37" s="63" t="str">
        <f t="shared" si="125"/>
        <v>Pts</v>
      </c>
      <c r="AN37" s="63" t="str">
        <f t="shared" si="125"/>
        <v>P</v>
      </c>
      <c r="AO37" s="63" t="str">
        <f t="shared" si="125"/>
        <v>W</v>
      </c>
      <c r="AP37" s="63" t="str">
        <f t="shared" si="125"/>
        <v>D</v>
      </c>
      <c r="AQ37" s="63" t="str">
        <f t="shared" si="125"/>
        <v>L</v>
      </c>
      <c r="AR37" s="63" t="str">
        <f t="shared" si="125"/>
        <v>F</v>
      </c>
      <c r="AS37" s="63" t="str">
        <f t="shared" si="125"/>
        <v>A</v>
      </c>
      <c r="AT37" s="65" t="str">
        <f t="shared" si="125"/>
        <v>GD</v>
      </c>
      <c r="AU37" s="331">
        <f t="shared" ref="AU37" ca="1" si="126">COUNTIF(AU38:AU41,"&gt;1")</f>
        <v>0</v>
      </c>
      <c r="AV37" s="192"/>
      <c r="AW37" s="167"/>
      <c r="AX37" s="167"/>
      <c r="AY37" s="207" t="str">
        <f>AL37</f>
        <v>Nation</v>
      </c>
      <c r="AZ37" s="208" t="str">
        <f>+Idiomas!$D$67</f>
        <v>Deducted Points</v>
      </c>
      <c r="BA37" s="176"/>
      <c r="BC37" s="16" t="str">
        <f ca="1">+INDEX(T_Equipos[Grupo],MATCH(WORLDCUP!BD37,T_Equipos[NombreEquipo],0))</f>
        <v>H</v>
      </c>
      <c r="BD37" s="16" t="str">
        <f ca="1">+Equipos!B33</f>
        <v>Uruguay</v>
      </c>
      <c r="BE37" s="16">
        <f t="shared" ca="1" si="16"/>
        <v>0</v>
      </c>
      <c r="BF37" s="16">
        <f t="shared" ca="1" si="41"/>
        <v>0</v>
      </c>
      <c r="BG37" s="16">
        <f t="shared" ca="1" si="17"/>
        <v>0</v>
      </c>
      <c r="BH37" s="16">
        <f t="shared" ca="1" si="18"/>
        <v>0</v>
      </c>
      <c r="BI37" s="16">
        <f t="shared" ca="1" si="19"/>
        <v>0</v>
      </c>
      <c r="BJ37" s="16">
        <f t="shared" ca="1" si="20"/>
        <v>0</v>
      </c>
      <c r="BK37" s="16">
        <f t="shared" ca="1" si="21"/>
        <v>0</v>
      </c>
      <c r="BL37" s="16">
        <f t="shared" ca="1" si="42"/>
        <v>0</v>
      </c>
      <c r="BM37" s="16" t="str">
        <f t="shared" ca="1" si="22"/>
        <v>4H</v>
      </c>
      <c r="BN37" s="16" t="str">
        <f t="shared" ca="1" si="23"/>
        <v>4H</v>
      </c>
      <c r="BO37" s="16">
        <f t="shared" ca="1" si="43"/>
        <v>0</v>
      </c>
      <c r="BP37" s="16">
        <f ca="1">COUNTIFS($BO$6:$BO$53,"&gt;"&amp;BO37,$BC$6:$BC$53,INDEX(T_Equipos[Grupo],MATCH(BD37,T_Equipos[NombreEquipo],0)))+1</f>
        <v>1</v>
      </c>
      <c r="BQ37" s="16" t="str">
        <f ca="1">IF(COUNTIFS($BP$6:$BP$53,BP37,$BC$6:$BC$53,INDEX(T_Equipos[Grupo],MATCH(BD37,T_Equipos[NombreEquipo],0)))=1,"-","P."&amp;BP37&amp;" ("&amp;COUNTIFS($BP$6:$BP$53,BP37,$BC$6:$BC$53,INDEX(T_Equipos[Grupo],MATCH(BD37,T_Equipos[NombreEquipo],0)))&amp;")")</f>
        <v>P.1 (4)</v>
      </c>
      <c r="BR37" s="16">
        <f t="shared" ca="1" si="44"/>
        <v>0</v>
      </c>
      <c r="BS37" s="16">
        <f ca="1">BP37+COUNTIFS($BQ$6:$BQ$53,BQ37,$BR$6:BR$53,"&gt;"&amp;BR37,$BC$6:$BC$53,INDEX(T_Equipos[Grupo],MATCH(BD37,T_Equipos[NombreEquipo],0)))</f>
        <v>1</v>
      </c>
      <c r="BT37" s="16" t="str">
        <f ca="1">IF(COUNTIFS($BS$6:$BS$53,BS37,$BC$6:$BC$53,INDEX(T_Equipos[Grupo],MATCH(BD37,T_Equipos[NombreEquipo],0)))=1,"-","P."&amp;BS37&amp;" ("&amp;COUNTIFS($BS$6:$BS$53,BS37,$BC$6:$BC$53,INDEX(T_Equipos[Grupo],MATCH(BD37,T_Equipos[NombreEquipo],0)))&amp;")")</f>
        <v>P.1 (4)</v>
      </c>
      <c r="BU37" s="16">
        <f t="shared" ca="1" si="24"/>
        <v>0</v>
      </c>
      <c r="BV37" s="16">
        <f t="shared" ca="1" si="25"/>
        <v>0</v>
      </c>
      <c r="BW37" s="16">
        <f t="shared" ca="1" si="26"/>
        <v>0</v>
      </c>
      <c r="BX37" s="16">
        <f t="shared" ca="1" si="48"/>
        <v>0</v>
      </c>
      <c r="BY37" s="16">
        <f ca="1">BS37+COUNTIFS($BT$6:$BT$53,BT37,$BX$6:BX$53,"&gt;"&amp;BX37,$BC$6:$BC$53,INDEX(T_Equipos[Grupo],MATCH(BD37,T_Equipos[NombreEquipo],0)))</f>
        <v>1</v>
      </c>
      <c r="BZ37" s="16" t="str">
        <f ca="1">IF(COUNTIFS($BY$6:$BY$53,BY37,$BC$6:$BC$53,INDEX(T_Equipos[Grupo],MATCH(BD37,T_Equipos[NombreEquipo],0)))=1,"-","P."&amp;BY37&amp;" ("&amp;COUNTIFS($BY$6:$BY$53,BY37,$BC$6:$BC$53,INDEX(T_Equipos[Grupo],MATCH(BD37,T_Equipos[NombreEquipo],0)))&amp;")")</f>
        <v>P.1 (4)</v>
      </c>
      <c r="CA37" s="16">
        <f t="shared" ca="1" si="27"/>
        <v>0</v>
      </c>
      <c r="CB37" s="16">
        <f t="shared" ca="1" si="28"/>
        <v>0</v>
      </c>
      <c r="CC37" s="16">
        <f t="shared" ca="1" si="49"/>
        <v>0</v>
      </c>
      <c r="CD37" s="16">
        <f ca="1">BY37+COUNTIFS($BZ$6:$BZ$53,BZ37,$CC$6:CC$53,"&gt;"&amp;CC37,$BC$6:$BC$53,INDEX(T_Equipos[Grupo],MATCH(BD37,T_Equipos[NombreEquipo],0)))</f>
        <v>1</v>
      </c>
      <c r="CE37" s="16" t="str">
        <f ca="1">IF(COUNTIFS($CD$6:$CD$53,CD37,$BC$6:$BC$53,INDEX(T_Equipos[Grupo],MATCH(BD37,T_Equipos[NombreEquipo],0)))=1,"-","P."&amp;CD37&amp;" ("&amp;COUNTIFS($CD$6:$CD$53,CD37,$BC$6:$BC$53,INDEX(T_Equipos[Grupo],MATCH(BD37,T_Equipos[NombreEquipo],0)))&amp;")")</f>
        <v>P.1 (4)</v>
      </c>
      <c r="CF37" s="16">
        <f t="shared" ca="1" si="29"/>
        <v>0</v>
      </c>
      <c r="CG37" s="16">
        <f ca="1">CD37+COUNTIFS($CE$6:$CE$53,CE37,$CF$6:CF$53,"&gt;"&amp;CF37,$BC$6:$BC$53,INDEX(T_Equipos[Grupo],MATCH(BD37,T_Equipos[NombreEquipo],0)))</f>
        <v>1</v>
      </c>
      <c r="CH37" s="16" t="str">
        <f ca="1">IF(COUNTIFS($CG$6:$CG$53,CG37,$BC$6:$BC$53,INDEX(T_Equipos[Grupo],MATCH(BD37,T_Equipos[NombreEquipo],0)))=1,"-","P."&amp;CG37&amp;" ("&amp;COUNTIFS($CG$6:$CG$53,CG37,$BC$6:$BC$53,INDEX(T_Equipos[Grupo],MATCH(BD37,T_Equipos[NombreEquipo],0)))&amp;")")</f>
        <v>P.1 (4)</v>
      </c>
      <c r="CI37" s="16">
        <f t="shared" ca="1" si="30"/>
        <v>0</v>
      </c>
      <c r="CJ37" s="16">
        <f t="shared" ca="1" si="31"/>
        <v>0</v>
      </c>
      <c r="CK37" s="16">
        <f t="shared" ca="1" si="32"/>
        <v>0</v>
      </c>
      <c r="CL37" s="16">
        <f t="shared" ca="1" si="50"/>
        <v>0</v>
      </c>
      <c r="CM37" s="16">
        <f ca="1">CG37+COUNTIFS($CH$6:$CH$53,CH37,$CL$6:CL$53,"&gt;"&amp;CL37,$BC$6:$BC$53,INDEX(T_Equipos[Grupo],MATCH(BD37,T_Equipos[NombreEquipo],0)))</f>
        <v>1</v>
      </c>
      <c r="CN37" s="16" t="str">
        <f ca="1">IF(COUNTIFS($CM$6:$CM$53,CM37,$BC$6:$BC$53,INDEX(T_Equipos[Grupo],MATCH(BD37,T_Equipos[NombreEquipo],0)))=1,"-","P."&amp;CM37&amp;" ("&amp;COUNTIFS($CM$6:$CM$53,CM37,$BC$6:$BC$53,INDEX(T_Equipos[Grupo],MATCH(BD37,T_Equipos[NombreEquipo],0)))&amp;")")</f>
        <v>P.1 (4)</v>
      </c>
      <c r="CO37" s="16">
        <f t="shared" ca="1" si="33"/>
        <v>0</v>
      </c>
      <c r="CP37" s="16">
        <f t="shared" ca="1" si="34"/>
        <v>0</v>
      </c>
      <c r="CQ37" s="16">
        <f t="shared" ca="1" si="51"/>
        <v>0</v>
      </c>
      <c r="CR37" s="16">
        <f ca="1">CM37+COUNTIFS($CN$6:$CN$53,CN37,$CQ$6:CQ$53,"&gt;"&amp;CQ37,$BC$6:$BC$53,INDEX(T_Equipos[Grupo],MATCH(BD37,T_Equipos[NombreEquipo],0)))</f>
        <v>1</v>
      </c>
      <c r="CS37" s="16" t="str">
        <f ca="1">IF(COUNTIFS($CR$6:$CR$53,CR37,$BC$6:$BC$53,INDEX(T_Equipos[Grupo],MATCH(BD37,T_Equipos[NombreEquipo],0)))=1,"-","P."&amp;CR37&amp;" ("&amp;COUNTIFS($CR$6:$CR$53,CR37,$BC$6:$BC$53,INDEX(T_Equipos[Grupo],MATCH(BD37,T_Equipos[NombreEquipo],0)))&amp;")")</f>
        <v>P.1 (4)</v>
      </c>
      <c r="CT37" s="16">
        <f t="shared" ca="1" si="35"/>
        <v>0</v>
      </c>
      <c r="CU37" s="16">
        <f ca="1">CR37+COUNTIFS($CS$6:$CS$53,CS37,$CT$6:CT$53,"&gt;"&amp;CT37,$BC$6:$BC$53,INDEX(T_Equipos[Grupo],MATCH(BD37,T_Equipos[NombreEquipo],0)))</f>
        <v>1</v>
      </c>
      <c r="CV37" s="16" t="str">
        <f ca="1">IF(COUNTIFS($CU$6:$CU$53,CU37,$BC$6:$BC$53,INDEX(T_Equipos[Grupo],MATCH(BD37,T_Equipos[NombreEquipo],0)))=1,"-","P."&amp;CU37&amp;" ("&amp;COUNTIFS($CU$6:$CU$53,CU37,$BC$6:$BC$53,INDEX(T_Equipos[Grupo],MATCH(BD37,T_Equipos[NombreEquipo],0)))&amp;")")</f>
        <v>P.1 (4)</v>
      </c>
      <c r="CW37" s="16">
        <f t="shared" ca="1" si="36"/>
        <v>0</v>
      </c>
      <c r="CX37" s="16">
        <f ca="1">CU37+COUNTIFS($CV$6:$CV$53,CV37,$CW$6:CW$53,"&gt;"&amp;CW37,$BC$6:$BC$53,INDEX(T_Equipos[Grupo],MATCH(BD37,T_Equipos[NombreEquipo],0)))</f>
        <v>1</v>
      </c>
      <c r="CY37" s="16" t="str">
        <f ca="1">IF(COUNTIFS($CX$6:$CX$53,CX37,$BC$6:$BC$53,INDEX(T_Equipos[Grupo],MATCH(BD37,T_Equipos[NombreEquipo],0)))=1,"-","P."&amp;CX37&amp;" ("&amp;COUNTIFS($CX$6:$CX$53,CX37,$BC$6:$BC$53,INDEX(T_Equipos[Grupo],MATCH(BD37,T_Equipos[NombreEquipo],0)))&amp;")")</f>
        <v>P.1 (4)</v>
      </c>
      <c r="CZ37" s="16">
        <f t="shared" ca="1" si="37"/>
        <v>0</v>
      </c>
      <c r="DA37" s="16">
        <f ca="1">CX37+COUNTIFS($CY$6:$CY$53,CY37,$CZ$6:CZ$53,"&gt;"&amp;CZ37,$BC$6:$BC$53,INDEX(T_Equipos[Grupo],MATCH(BD37,T_Equipos[NombreEquipo],0)))</f>
        <v>1</v>
      </c>
      <c r="DB37" s="16" t="str">
        <f ca="1">IF(COUNTIFS($DA$6:$DA$53,DA37,$BC$6:$BC$53,INDEX(T_Equipos[Grupo],MATCH(BD37,T_Equipos[NombreEquipo],0)))=1,"-","P."&amp;DA37&amp;" ("&amp;COUNTIFS($DA$6:$DA$53,DA37,$BC$6:$BC$53,INDEX(T_Equipos[Grupo],MATCH(BD37,T_Equipos[NombreEquipo],0)))&amp;")")</f>
        <v>P.1 (4)</v>
      </c>
      <c r="DC37" s="16">
        <f ca="1">IF(DB37="-","-",COUNTIFS(T_Equipos[Rank],"&lt;"&amp;INDEX(T_Equipos[Rank],MATCH(BD37,T_Equipos[NombreEquipo],0)),$BC$6:$BC$53,INDEX(T_Equipos[Grupo],MATCH(BD37,T_Equipos[NombreEquipo],0)))+1)</f>
        <v>4</v>
      </c>
      <c r="DD37" s="16">
        <f ca="1">DA37+COUNTIFS($DB$6:$DB$53,DB37,$DC$6:DC$53,"&lt;"&amp;DC37,$BC$6:$BC$53,INDEX(T_Equipos[Grupo],MATCH(BD37,T_Equipos[NombreEquipo],0)))</f>
        <v>4</v>
      </c>
      <c r="DE37" s="16"/>
      <c r="DF37" s="16">
        <f t="shared" ca="1" si="52"/>
        <v>4</v>
      </c>
      <c r="DG37" s="16">
        <f ca="1">IF(DB37="-","-",COUNTIFS(DF$6:DF$53,"&lt;"&amp;DF37,$BC$6:$BC$53,INDEX(T_Equipos[Grupo],MATCH(BD37,T_Equipos[NombreEquipo],0))))</f>
        <v>3</v>
      </c>
      <c r="DH37" s="16">
        <f ca="1">DA37+COUNTIFS(DB$6:DB$53,DB37,DG$6:DG$53,"&lt;"&amp;DG37,$BC$6:$BC$53,INDEX(T_Equipos[Grupo],MATCH(BD37,T_Equipos[NombreEquipo],0)))</f>
        <v>4</v>
      </c>
      <c r="DI37" s="16"/>
      <c r="DJ37" s="16">
        <f t="shared" ca="1" si="38"/>
        <v>1</v>
      </c>
      <c r="DK37" s="16">
        <f t="shared" ca="1" si="39"/>
        <v>0</v>
      </c>
      <c r="DL37" s="16">
        <f t="shared" ca="1" si="40"/>
        <v>1</v>
      </c>
      <c r="DM37" s="16" t="str">
        <f t="shared" ca="1" si="46"/>
        <v>1.1</v>
      </c>
      <c r="DN37" s="16" cm="1">
        <f t="array" aca="1" ref="DN37" ca="1">OFFSET(Horarios!$P$3,DJ37-1,0,DL37,1)</f>
        <v>1</v>
      </c>
      <c r="DO37" s="16"/>
      <c r="DP37" s="16" t="s">
        <v>683</v>
      </c>
      <c r="DQ37" s="16" t="str">
        <f t="shared" ca="1" si="47"/>
        <v>Uruguay</v>
      </c>
    </row>
    <row r="38" spans="1:121" ht="16" customHeight="1" x14ac:dyDescent="0.2">
      <c r="A38" s="16" t="str">
        <f ca="1">+Equipos!B19</f>
        <v>Curaçao</v>
      </c>
      <c r="B38" s="16"/>
      <c r="C38" s="16"/>
      <c r="D38" s="16" t="str">
        <f t="shared" si="111"/>
        <v>Pendiente</v>
      </c>
      <c r="E38" s="16" t="str">
        <f t="shared" si="112"/>
        <v>-</v>
      </c>
      <c r="F38" s="16" t="str">
        <f t="shared" si="113"/>
        <v>-</v>
      </c>
      <c r="G38" s="16"/>
      <c r="H38" s="16" t="str">
        <f t="shared" si="114"/>
        <v>-</v>
      </c>
      <c r="I38" s="16" t="str">
        <f t="shared" si="115"/>
        <v>-</v>
      </c>
      <c r="J38" s="16"/>
      <c r="K38" s="16" t="str">
        <f t="shared" si="116"/>
        <v>-</v>
      </c>
      <c r="L38" s="16" t="str">
        <f t="shared" si="117"/>
        <v>-</v>
      </c>
      <c r="M38" s="16"/>
      <c r="N38" s="16" t="str">
        <f t="shared" si="118"/>
        <v>-</v>
      </c>
      <c r="O38" s="16" t="str">
        <f t="shared" si="119"/>
        <v>-</v>
      </c>
      <c r="P38" s="16"/>
      <c r="Q38" s="16" t="str">
        <f t="shared" si="120"/>
        <v>-</v>
      </c>
      <c r="R38" s="16" t="str">
        <f t="shared" si="121"/>
        <v>-</v>
      </c>
      <c r="S38" s="16"/>
      <c r="T38" s="16" t="str">
        <f t="shared" si="122"/>
        <v>-</v>
      </c>
      <c r="U38" s="16" t="str">
        <f t="shared" si="123"/>
        <v>-</v>
      </c>
      <c r="V38" s="17"/>
      <c r="W38" s="653"/>
      <c r="X38" s="24">
        <f ca="1">Horarios!C38</f>
        <v>46193.666666666664</v>
      </c>
      <c r="Y38" s="25">
        <f ca="1">Horarios!C38</f>
        <v>46193.666666666664</v>
      </c>
      <c r="Z38" s="26" t="str">
        <f>$Z$6</f>
        <v>R2</v>
      </c>
      <c r="AA38" s="27" t="str">
        <f ca="1">A37</f>
        <v>Germany</v>
      </c>
      <c r="AB38" s="49" t="str" cm="1">
        <f t="array" aca="1" ref="AB38" ca="1">Ver_flag_local</f>
        <v>🇩🇪</v>
      </c>
      <c r="AC38" s="50"/>
      <c r="AD38" s="51"/>
      <c r="AE38" s="595" t="str" cm="1">
        <f t="array" aca="1" ref="AE38" ca="1">Ver_flag_visit</f>
        <v>🇨🇮</v>
      </c>
      <c r="AF38" s="32" t="str">
        <f ca="1">A39</f>
        <v>Ivory Coast</v>
      </c>
      <c r="AG38" s="323">
        <f t="shared" si="124"/>
        <v>0</v>
      </c>
      <c r="AH38" s="195">
        <v>33</v>
      </c>
      <c r="AI38" s="181" t="str">
        <f>AJ38&amp;$B$36</f>
        <v>1E</v>
      </c>
      <c r="AJ38" s="40">
        <v>1</v>
      </c>
      <c r="AK38" s="601" t="str" cm="1">
        <f t="array" aca="1" ref="AK38" ca="1">Ver_flag_visit</f>
        <v>🇩🇪</v>
      </c>
      <c r="AL38" s="34" t="str">
        <f ca="1">IFERROR(INDEX($BD$6:$BD$53,MATCH(AI38,$BN$6:$BN$53,0)),"")</f>
        <v>Germany</v>
      </c>
      <c r="AM38" s="35">
        <f t="shared" ref="AM38:AT41" ca="1" si="127">INDEX($BE$6:$BN$53,MATCH($AL38,$BD$6:$BD$53,0),MATCH(AM$5,$BE$5:$BN$5,0))</f>
        <v>0</v>
      </c>
      <c r="AN38" s="36">
        <f t="shared" ca="1" si="127"/>
        <v>0</v>
      </c>
      <c r="AO38" s="36">
        <f t="shared" ca="1" si="127"/>
        <v>0</v>
      </c>
      <c r="AP38" s="36">
        <f t="shared" ca="1" si="127"/>
        <v>0</v>
      </c>
      <c r="AQ38" s="36">
        <f t="shared" ca="1" si="127"/>
        <v>0</v>
      </c>
      <c r="AR38" s="36">
        <f t="shared" ca="1" si="127"/>
        <v>0</v>
      </c>
      <c r="AS38" s="36">
        <f t="shared" ca="1" si="127"/>
        <v>0</v>
      </c>
      <c r="AT38" s="41">
        <f t="shared" ca="1" si="127"/>
        <v>0</v>
      </c>
      <c r="AU38" s="330">
        <f ca="1">INDEX($DL$6:$DL$53,MATCH(AI38,$DP$6:$DP$53,0))</f>
        <v>1</v>
      </c>
      <c r="AV38" s="182" t="str">
        <f ca="1">INDEX($BD$6:$BD$53,MATCH(AI38,$BM$6:$BM$53,0))</f>
        <v>Germany</v>
      </c>
      <c r="AW38" s="210"/>
      <c r="AX38" s="171"/>
      <c r="AY38" s="201" t="str">
        <f ca="1">+A37</f>
        <v>Germany</v>
      </c>
      <c r="AZ38" s="202"/>
      <c r="BA38" s="176"/>
      <c r="BC38" s="16" t="str">
        <f ca="1">+INDEX(T_Equipos[Grupo],MATCH(WORLDCUP!BD38,T_Equipos[NombreEquipo],0))</f>
        <v>I</v>
      </c>
      <c r="BD38" s="16" t="str">
        <f ca="1">+Equipos!B34</f>
        <v>France</v>
      </c>
      <c r="BE38" s="16">
        <f t="shared" ca="1" si="16"/>
        <v>0</v>
      </c>
      <c r="BF38" s="16">
        <f t="shared" ca="1" si="41"/>
        <v>0</v>
      </c>
      <c r="BG38" s="16">
        <f t="shared" ca="1" si="17"/>
        <v>0</v>
      </c>
      <c r="BH38" s="16">
        <f t="shared" ca="1" si="18"/>
        <v>0</v>
      </c>
      <c r="BI38" s="16">
        <f t="shared" ca="1" si="19"/>
        <v>0</v>
      </c>
      <c r="BJ38" s="16">
        <f t="shared" ca="1" si="20"/>
        <v>0</v>
      </c>
      <c r="BK38" s="16">
        <f t="shared" ca="1" si="21"/>
        <v>0</v>
      </c>
      <c r="BL38" s="16">
        <f t="shared" ca="1" si="42"/>
        <v>0</v>
      </c>
      <c r="BM38" s="16" t="str">
        <f t="shared" ca="1" si="22"/>
        <v>1I</v>
      </c>
      <c r="BN38" s="16" t="str">
        <f t="shared" ca="1" si="23"/>
        <v>1I</v>
      </c>
      <c r="BO38" s="16">
        <f t="shared" ca="1" si="43"/>
        <v>0</v>
      </c>
      <c r="BP38" s="16">
        <f ca="1">COUNTIFS($BO$6:$BO$53,"&gt;"&amp;BO38,$BC$6:$BC$53,INDEX(T_Equipos[Grupo],MATCH(BD38,T_Equipos[NombreEquipo],0)))+1</f>
        <v>1</v>
      </c>
      <c r="BQ38" s="16" t="str">
        <f ca="1">IF(COUNTIFS($BP$6:$BP$53,BP38,$BC$6:$BC$53,INDEX(T_Equipos[Grupo],MATCH(BD38,T_Equipos[NombreEquipo],0)))=1,"-","P."&amp;BP38&amp;" ("&amp;COUNTIFS($BP$6:$BP$53,BP38,$BC$6:$BC$53,INDEX(T_Equipos[Grupo],MATCH(BD38,T_Equipos[NombreEquipo],0)))&amp;")")</f>
        <v>P.1 (4)</v>
      </c>
      <c r="BR38" s="16">
        <f t="shared" ca="1" si="44"/>
        <v>0</v>
      </c>
      <c r="BS38" s="16">
        <f ca="1">BP38+COUNTIFS($BQ$6:$BQ$53,BQ38,$BR$6:BR$53,"&gt;"&amp;BR38,$BC$6:$BC$53,INDEX(T_Equipos[Grupo],MATCH(BD38,T_Equipos[NombreEquipo],0)))</f>
        <v>1</v>
      </c>
      <c r="BT38" s="16" t="str">
        <f ca="1">IF(COUNTIFS($BS$6:$BS$53,BS38,$BC$6:$BC$53,INDEX(T_Equipos[Grupo],MATCH(BD38,T_Equipos[NombreEquipo],0)))=1,"-","P."&amp;BS38&amp;" ("&amp;COUNTIFS($BS$6:$BS$53,BS38,$BC$6:$BC$53,INDEX(T_Equipos[Grupo],MATCH(BD38,T_Equipos[NombreEquipo],0)))&amp;")")</f>
        <v>P.1 (4)</v>
      </c>
      <c r="BU38" s="16">
        <f t="shared" ca="1" si="24"/>
        <v>0</v>
      </c>
      <c r="BV38" s="16">
        <f t="shared" ca="1" si="25"/>
        <v>0</v>
      </c>
      <c r="BW38" s="16">
        <f t="shared" ca="1" si="26"/>
        <v>0</v>
      </c>
      <c r="BX38" s="16">
        <f t="shared" ca="1" si="48"/>
        <v>0</v>
      </c>
      <c r="BY38" s="16">
        <f ca="1">BS38+COUNTIFS($BT$6:$BT$53,BT38,$BX$6:BX$53,"&gt;"&amp;BX38,$BC$6:$BC$53,INDEX(T_Equipos[Grupo],MATCH(BD38,T_Equipos[NombreEquipo],0)))</f>
        <v>1</v>
      </c>
      <c r="BZ38" s="16" t="str">
        <f ca="1">IF(COUNTIFS($BY$6:$BY$53,BY38,$BC$6:$BC$53,INDEX(T_Equipos[Grupo],MATCH(BD38,T_Equipos[NombreEquipo],0)))=1,"-","P."&amp;BY38&amp;" ("&amp;COUNTIFS($BY$6:$BY$53,BY38,$BC$6:$BC$53,INDEX(T_Equipos[Grupo],MATCH(BD38,T_Equipos[NombreEquipo],0)))&amp;")")</f>
        <v>P.1 (4)</v>
      </c>
      <c r="CA38" s="16">
        <f t="shared" ca="1" si="27"/>
        <v>0</v>
      </c>
      <c r="CB38" s="16">
        <f t="shared" ca="1" si="28"/>
        <v>0</v>
      </c>
      <c r="CC38" s="16">
        <f t="shared" ca="1" si="49"/>
        <v>0</v>
      </c>
      <c r="CD38" s="16">
        <f ca="1">BY38+COUNTIFS($BZ$6:$BZ$53,BZ38,$CC$6:CC$53,"&gt;"&amp;CC38,$BC$6:$BC$53,INDEX(T_Equipos[Grupo],MATCH(BD38,T_Equipos[NombreEquipo],0)))</f>
        <v>1</v>
      </c>
      <c r="CE38" s="16" t="str">
        <f ca="1">IF(COUNTIFS($CD$6:$CD$53,CD38,$BC$6:$BC$53,INDEX(T_Equipos[Grupo],MATCH(BD38,T_Equipos[NombreEquipo],0)))=1,"-","P."&amp;CD38&amp;" ("&amp;COUNTIFS($CD$6:$CD$53,CD38,$BC$6:$BC$53,INDEX(T_Equipos[Grupo],MATCH(BD38,T_Equipos[NombreEquipo],0)))&amp;")")</f>
        <v>P.1 (4)</v>
      </c>
      <c r="CF38" s="16">
        <f t="shared" ca="1" si="29"/>
        <v>0</v>
      </c>
      <c r="CG38" s="16">
        <f ca="1">CD38+COUNTIFS($CE$6:$CE$53,CE38,$CF$6:CF$53,"&gt;"&amp;CF38,$BC$6:$BC$53,INDEX(T_Equipos[Grupo],MATCH(BD38,T_Equipos[NombreEquipo],0)))</f>
        <v>1</v>
      </c>
      <c r="CH38" s="16" t="str">
        <f ca="1">IF(COUNTIFS($CG$6:$CG$53,CG38,$BC$6:$BC$53,INDEX(T_Equipos[Grupo],MATCH(BD38,T_Equipos[NombreEquipo],0)))=1,"-","P."&amp;CG38&amp;" ("&amp;COUNTIFS($CG$6:$CG$53,CG38,$BC$6:$BC$53,INDEX(T_Equipos[Grupo],MATCH(BD38,T_Equipos[NombreEquipo],0)))&amp;")")</f>
        <v>P.1 (4)</v>
      </c>
      <c r="CI38" s="16">
        <f t="shared" ca="1" si="30"/>
        <v>0</v>
      </c>
      <c r="CJ38" s="16">
        <f t="shared" ca="1" si="31"/>
        <v>0</v>
      </c>
      <c r="CK38" s="16">
        <f t="shared" ca="1" si="32"/>
        <v>0</v>
      </c>
      <c r="CL38" s="16">
        <f t="shared" ca="1" si="50"/>
        <v>0</v>
      </c>
      <c r="CM38" s="16">
        <f ca="1">CG38+COUNTIFS($CH$6:$CH$53,CH38,$CL$6:CL$53,"&gt;"&amp;CL38,$BC$6:$BC$53,INDEX(T_Equipos[Grupo],MATCH(BD38,T_Equipos[NombreEquipo],0)))</f>
        <v>1</v>
      </c>
      <c r="CN38" s="16" t="str">
        <f ca="1">IF(COUNTIFS($CM$6:$CM$53,CM38,$BC$6:$BC$53,INDEX(T_Equipos[Grupo],MATCH(BD38,T_Equipos[NombreEquipo],0)))=1,"-","P."&amp;CM38&amp;" ("&amp;COUNTIFS($CM$6:$CM$53,CM38,$BC$6:$BC$53,INDEX(T_Equipos[Grupo],MATCH(BD38,T_Equipos[NombreEquipo],0)))&amp;")")</f>
        <v>P.1 (4)</v>
      </c>
      <c r="CO38" s="16">
        <f t="shared" ca="1" si="33"/>
        <v>0</v>
      </c>
      <c r="CP38" s="16">
        <f t="shared" ca="1" si="34"/>
        <v>0</v>
      </c>
      <c r="CQ38" s="16">
        <f t="shared" ca="1" si="51"/>
        <v>0</v>
      </c>
      <c r="CR38" s="16">
        <f ca="1">CM38+COUNTIFS($CN$6:$CN$53,CN38,$CQ$6:CQ$53,"&gt;"&amp;CQ38,$BC$6:$BC$53,INDEX(T_Equipos[Grupo],MATCH(BD38,T_Equipos[NombreEquipo],0)))</f>
        <v>1</v>
      </c>
      <c r="CS38" s="16" t="str">
        <f ca="1">IF(COUNTIFS($CR$6:$CR$53,CR38,$BC$6:$BC$53,INDEX(T_Equipos[Grupo],MATCH(BD38,T_Equipos[NombreEquipo],0)))=1,"-","P."&amp;CR38&amp;" ("&amp;COUNTIFS($CR$6:$CR$53,CR38,$BC$6:$BC$53,INDEX(T_Equipos[Grupo],MATCH(BD38,T_Equipos[NombreEquipo],0)))&amp;")")</f>
        <v>P.1 (4)</v>
      </c>
      <c r="CT38" s="16">
        <f t="shared" ca="1" si="35"/>
        <v>0</v>
      </c>
      <c r="CU38" s="16">
        <f ca="1">CR38+COUNTIFS($CS$6:$CS$53,CS38,$CT$6:CT$53,"&gt;"&amp;CT38,$BC$6:$BC$53,INDEX(T_Equipos[Grupo],MATCH(BD38,T_Equipos[NombreEquipo],0)))</f>
        <v>1</v>
      </c>
      <c r="CV38" s="16" t="str">
        <f ca="1">IF(COUNTIFS($CU$6:$CU$53,CU38,$BC$6:$BC$53,INDEX(T_Equipos[Grupo],MATCH(BD38,T_Equipos[NombreEquipo],0)))=1,"-","P."&amp;CU38&amp;" ("&amp;COUNTIFS($CU$6:$CU$53,CU38,$BC$6:$BC$53,INDEX(T_Equipos[Grupo],MATCH(BD38,T_Equipos[NombreEquipo],0)))&amp;")")</f>
        <v>P.1 (4)</v>
      </c>
      <c r="CW38" s="16">
        <f t="shared" ca="1" si="36"/>
        <v>0</v>
      </c>
      <c r="CX38" s="16">
        <f ca="1">CU38+COUNTIFS($CV$6:$CV$53,CV38,$CW$6:CW$53,"&gt;"&amp;CW38,$BC$6:$BC$53,INDEX(T_Equipos[Grupo],MATCH(BD38,T_Equipos[NombreEquipo],0)))</f>
        <v>1</v>
      </c>
      <c r="CY38" s="16" t="str">
        <f ca="1">IF(COUNTIFS($CX$6:$CX$53,CX38,$BC$6:$BC$53,INDEX(T_Equipos[Grupo],MATCH(BD38,T_Equipos[NombreEquipo],0)))=1,"-","P."&amp;CX38&amp;" ("&amp;COUNTIFS($CX$6:$CX$53,CX38,$BC$6:$BC$53,INDEX(T_Equipos[Grupo],MATCH(BD38,T_Equipos[NombreEquipo],0)))&amp;")")</f>
        <v>P.1 (4)</v>
      </c>
      <c r="CZ38" s="16">
        <f t="shared" ca="1" si="37"/>
        <v>0</v>
      </c>
      <c r="DA38" s="16">
        <f ca="1">CX38+COUNTIFS($CY$6:$CY$53,CY38,$CZ$6:CZ$53,"&gt;"&amp;CZ38,$BC$6:$BC$53,INDEX(T_Equipos[Grupo],MATCH(BD38,T_Equipos[NombreEquipo],0)))</f>
        <v>1</v>
      </c>
      <c r="DB38" s="16" t="str">
        <f ca="1">IF(COUNTIFS($DA$6:$DA$53,DA38,$BC$6:$BC$53,INDEX(T_Equipos[Grupo],MATCH(BD38,T_Equipos[NombreEquipo],0)))=1,"-","P."&amp;DA38&amp;" ("&amp;COUNTIFS($DA$6:$DA$53,DA38,$BC$6:$BC$53,INDEX(T_Equipos[Grupo],MATCH(BD38,T_Equipos[NombreEquipo],0)))&amp;")")</f>
        <v>P.1 (4)</v>
      </c>
      <c r="DC38" s="16">
        <f ca="1">IF(DB38="-","-",COUNTIFS(T_Equipos[Rank],"&lt;"&amp;INDEX(T_Equipos[Rank],MATCH(BD38,T_Equipos[NombreEquipo],0)),$BC$6:$BC$53,INDEX(T_Equipos[Grupo],MATCH(BD38,T_Equipos[NombreEquipo],0)))+1)</f>
        <v>1</v>
      </c>
      <c r="DD38" s="16">
        <f ca="1">DA38+COUNTIFS($DB$6:$DB$53,DB38,$DC$6:DC$53,"&lt;"&amp;DC38,$BC$6:$BC$53,INDEX(T_Equipos[Grupo],MATCH(BD38,T_Equipos[NombreEquipo],0)))</f>
        <v>1</v>
      </c>
      <c r="DE38" s="16"/>
      <c r="DF38" s="16">
        <f t="shared" ca="1" si="52"/>
        <v>1</v>
      </c>
      <c r="DG38" s="16">
        <f ca="1">IF(DB38="-","-",COUNTIFS(DF$6:DF$53,"&lt;"&amp;DF38,$BC$6:$BC$53,INDEX(T_Equipos[Grupo],MATCH(BD38,T_Equipos[NombreEquipo],0))))</f>
        <v>0</v>
      </c>
      <c r="DH38" s="16">
        <f ca="1">DA38+COUNTIFS(DB$6:DB$53,DB38,DG$6:DG$53,"&lt;"&amp;DG38,$BC$6:$BC$53,INDEX(T_Equipos[Grupo],MATCH(BD38,T_Equipos[NombreEquipo],0)))</f>
        <v>1</v>
      </c>
      <c r="DI38" s="16"/>
      <c r="DJ38" s="16">
        <f t="shared" ca="1" si="38"/>
        <v>1</v>
      </c>
      <c r="DK38" s="16">
        <f t="shared" ca="1" si="39"/>
        <v>0</v>
      </c>
      <c r="DL38" s="16">
        <f t="shared" ca="1" si="40"/>
        <v>1</v>
      </c>
      <c r="DM38" s="16" t="str">
        <f t="shared" ca="1" si="46"/>
        <v>1.1</v>
      </c>
      <c r="DN38" s="16" cm="1">
        <f t="array" aca="1" ref="DN38" ca="1">OFFSET(Horarios!$P$3,DJ38-1,0,DL38,1)</f>
        <v>1</v>
      </c>
      <c r="DO38" s="16"/>
      <c r="DP38" s="16" t="s">
        <v>684</v>
      </c>
      <c r="DQ38" s="16" t="str">
        <f t="shared" ca="1" si="47"/>
        <v>France</v>
      </c>
    </row>
    <row r="39" spans="1:121" ht="16" customHeight="1" x14ac:dyDescent="0.2">
      <c r="A39" s="16" t="str">
        <f ca="1">+Equipos!B20</f>
        <v>Ivory Coast</v>
      </c>
      <c r="B39" s="16"/>
      <c r="C39" s="16"/>
      <c r="D39" s="16" t="str">
        <f t="shared" si="111"/>
        <v>Pendiente</v>
      </c>
      <c r="E39" s="16" t="str">
        <f t="shared" si="112"/>
        <v>-</v>
      </c>
      <c r="F39" s="16" t="str">
        <f t="shared" si="113"/>
        <v>-</v>
      </c>
      <c r="G39" s="16"/>
      <c r="H39" s="16" t="str">
        <f t="shared" si="114"/>
        <v>-</v>
      </c>
      <c r="I39" s="16" t="str">
        <f t="shared" si="115"/>
        <v>-</v>
      </c>
      <c r="J39" s="16"/>
      <c r="K39" s="16" t="str">
        <f t="shared" si="116"/>
        <v>-</v>
      </c>
      <c r="L39" s="16" t="str">
        <f t="shared" si="117"/>
        <v>-</v>
      </c>
      <c r="M39" s="16"/>
      <c r="N39" s="16" t="str">
        <f t="shared" si="118"/>
        <v>-</v>
      </c>
      <c r="O39" s="16" t="str">
        <f t="shared" si="119"/>
        <v>-</v>
      </c>
      <c r="P39" s="16"/>
      <c r="Q39" s="16" t="str">
        <f t="shared" si="120"/>
        <v>-</v>
      </c>
      <c r="R39" s="16" t="str">
        <f t="shared" si="121"/>
        <v>-</v>
      </c>
      <c r="S39" s="16"/>
      <c r="T39" s="16" t="str">
        <f t="shared" si="122"/>
        <v>-</v>
      </c>
      <c r="U39" s="16" t="str">
        <f t="shared" si="123"/>
        <v>-</v>
      </c>
      <c r="V39" s="17"/>
      <c r="W39" s="653"/>
      <c r="X39" s="24">
        <f ca="1">Horarios!C39</f>
        <v>46193.833333333336</v>
      </c>
      <c r="Y39" s="25">
        <f ca="1">Horarios!C39</f>
        <v>46193.833333333336</v>
      </c>
      <c r="Z39" s="26" t="str">
        <f>$Z$6</f>
        <v>R2</v>
      </c>
      <c r="AA39" s="27" t="str">
        <f ca="1">A40</f>
        <v>Ecuador</v>
      </c>
      <c r="AB39" s="49" t="str" cm="1">
        <f t="array" aca="1" ref="AB39" ca="1">Ver_flag_local</f>
        <v>🇪🇨</v>
      </c>
      <c r="AC39" s="50"/>
      <c r="AD39" s="51"/>
      <c r="AE39" s="595" t="str" cm="1">
        <f t="array" aca="1" ref="AE39" ca="1">Ver_flag_visit</f>
        <v>🇨🇼</v>
      </c>
      <c r="AF39" s="32" t="str">
        <f ca="1">A38</f>
        <v>Curaçao</v>
      </c>
      <c r="AG39" s="323">
        <f t="shared" si="124"/>
        <v>0</v>
      </c>
      <c r="AH39" s="195">
        <v>34</v>
      </c>
      <c r="AI39" s="181" t="str">
        <f t="shared" ref="AI39:AI41" si="128">AJ39&amp;$B$36</f>
        <v>2E</v>
      </c>
      <c r="AJ39" s="42">
        <v>2</v>
      </c>
      <c r="AK39" s="602" t="str" cm="1">
        <f t="array" aca="1" ref="AK39" ca="1">Ver_flag_visit</f>
        <v>🇨🇼</v>
      </c>
      <c r="AL39" s="37" t="str">
        <f ca="1">IFERROR(INDEX($BD$6:$BD$53,MATCH(AI39,$BN$6:$BN$53,0)),"")</f>
        <v>Curaçao</v>
      </c>
      <c r="AM39" s="38">
        <f t="shared" ca="1" si="127"/>
        <v>0</v>
      </c>
      <c r="AN39" s="39">
        <f t="shared" ca="1" si="127"/>
        <v>0</v>
      </c>
      <c r="AO39" s="39">
        <f t="shared" ca="1" si="127"/>
        <v>0</v>
      </c>
      <c r="AP39" s="39">
        <f t="shared" ca="1" si="127"/>
        <v>0</v>
      </c>
      <c r="AQ39" s="39">
        <f t="shared" ca="1" si="127"/>
        <v>0</v>
      </c>
      <c r="AR39" s="39">
        <f t="shared" ca="1" si="127"/>
        <v>0</v>
      </c>
      <c r="AS39" s="39">
        <f t="shared" ca="1" si="127"/>
        <v>0</v>
      </c>
      <c r="AT39" s="43">
        <f t="shared" ca="1" si="127"/>
        <v>0</v>
      </c>
      <c r="AU39" s="330">
        <f ca="1">INDEX($DL$6:$DL$53,MATCH(AI39,$DP$6:$DP$53,0))</f>
        <v>1</v>
      </c>
      <c r="AV39" s="182" t="str">
        <f ca="1">INDEX($BD$6:$BD$53,MATCH(AI39,$BM$6:$BM$53,0))</f>
        <v>Curaçao</v>
      </c>
      <c r="AW39" s="210"/>
      <c r="AX39" s="171"/>
      <c r="AY39" s="203" t="str">
        <f ca="1">+A38</f>
        <v>Curaçao</v>
      </c>
      <c r="AZ39" s="204"/>
      <c r="BA39" s="176"/>
      <c r="BC39" s="16" t="str">
        <f ca="1">+INDEX(T_Equipos[Grupo],MATCH(WORLDCUP!BD39,T_Equipos[NombreEquipo],0))</f>
        <v>I</v>
      </c>
      <c r="BD39" s="16" t="str">
        <f ca="1">+Equipos!B35</f>
        <v>Senegal</v>
      </c>
      <c r="BE39" s="16">
        <f t="shared" ca="1" si="16"/>
        <v>0</v>
      </c>
      <c r="BF39" s="16">
        <f t="shared" ca="1" si="41"/>
        <v>0</v>
      </c>
      <c r="BG39" s="16">
        <f t="shared" ca="1" si="17"/>
        <v>0</v>
      </c>
      <c r="BH39" s="16">
        <f t="shared" ca="1" si="18"/>
        <v>0</v>
      </c>
      <c r="BI39" s="16">
        <f t="shared" ca="1" si="19"/>
        <v>0</v>
      </c>
      <c r="BJ39" s="16">
        <f t="shared" ca="1" si="20"/>
        <v>0</v>
      </c>
      <c r="BK39" s="16">
        <f t="shared" ca="1" si="21"/>
        <v>0</v>
      </c>
      <c r="BL39" s="16">
        <f t="shared" ca="1" si="42"/>
        <v>0</v>
      </c>
      <c r="BM39" s="16" t="str">
        <f t="shared" ca="1" si="22"/>
        <v>2I</v>
      </c>
      <c r="BN39" s="16" t="str">
        <f t="shared" ca="1" si="23"/>
        <v>2I</v>
      </c>
      <c r="BO39" s="16">
        <f t="shared" ca="1" si="43"/>
        <v>0</v>
      </c>
      <c r="BP39" s="16">
        <f ca="1">COUNTIFS($BO$6:$BO$53,"&gt;"&amp;BO39,$BC$6:$BC$53,INDEX(T_Equipos[Grupo],MATCH(BD39,T_Equipos[NombreEquipo],0)))+1</f>
        <v>1</v>
      </c>
      <c r="BQ39" s="16" t="str">
        <f ca="1">IF(COUNTIFS($BP$6:$BP$53,BP39,$BC$6:$BC$53,INDEX(T_Equipos[Grupo],MATCH(BD39,T_Equipos[NombreEquipo],0)))=1,"-","P."&amp;BP39&amp;" ("&amp;COUNTIFS($BP$6:$BP$53,BP39,$BC$6:$BC$53,INDEX(T_Equipos[Grupo],MATCH(BD39,T_Equipos[NombreEquipo],0)))&amp;")")</f>
        <v>P.1 (4)</v>
      </c>
      <c r="BR39" s="16">
        <f t="shared" ca="1" si="44"/>
        <v>0</v>
      </c>
      <c r="BS39" s="16">
        <f ca="1">BP39+COUNTIFS($BQ$6:$BQ$53,BQ39,$BR$6:BR$53,"&gt;"&amp;BR39,$BC$6:$BC$53,INDEX(T_Equipos[Grupo],MATCH(BD39,T_Equipos[NombreEquipo],0)))</f>
        <v>1</v>
      </c>
      <c r="BT39" s="16" t="str">
        <f ca="1">IF(COUNTIFS($BS$6:$BS$53,BS39,$BC$6:$BC$53,INDEX(T_Equipos[Grupo],MATCH(BD39,T_Equipos[NombreEquipo],0)))=1,"-","P."&amp;BS39&amp;" ("&amp;COUNTIFS($BS$6:$BS$53,BS39,$BC$6:$BC$53,INDEX(T_Equipos[Grupo],MATCH(BD39,T_Equipos[NombreEquipo],0)))&amp;")")</f>
        <v>P.1 (4)</v>
      </c>
      <c r="BU39" s="16">
        <f t="shared" ca="1" si="24"/>
        <v>0</v>
      </c>
      <c r="BV39" s="16">
        <f t="shared" ca="1" si="25"/>
        <v>0</v>
      </c>
      <c r="BW39" s="16">
        <f t="shared" ca="1" si="26"/>
        <v>0</v>
      </c>
      <c r="BX39" s="16">
        <f t="shared" ca="1" si="48"/>
        <v>0</v>
      </c>
      <c r="BY39" s="16">
        <f ca="1">BS39+COUNTIFS($BT$6:$BT$53,BT39,$BX$6:BX$53,"&gt;"&amp;BX39,$BC$6:$BC$53,INDEX(T_Equipos[Grupo],MATCH(BD39,T_Equipos[NombreEquipo],0)))</f>
        <v>1</v>
      </c>
      <c r="BZ39" s="16" t="str">
        <f ca="1">IF(COUNTIFS($BY$6:$BY$53,BY39,$BC$6:$BC$53,INDEX(T_Equipos[Grupo],MATCH(BD39,T_Equipos[NombreEquipo],0)))=1,"-","P."&amp;BY39&amp;" ("&amp;COUNTIFS($BY$6:$BY$53,BY39,$BC$6:$BC$53,INDEX(T_Equipos[Grupo],MATCH(BD39,T_Equipos[NombreEquipo],0)))&amp;")")</f>
        <v>P.1 (4)</v>
      </c>
      <c r="CA39" s="16">
        <f t="shared" ca="1" si="27"/>
        <v>0</v>
      </c>
      <c r="CB39" s="16">
        <f t="shared" ca="1" si="28"/>
        <v>0</v>
      </c>
      <c r="CC39" s="16">
        <f t="shared" ca="1" si="49"/>
        <v>0</v>
      </c>
      <c r="CD39" s="16">
        <f ca="1">BY39+COUNTIFS($BZ$6:$BZ$53,BZ39,$CC$6:CC$53,"&gt;"&amp;CC39,$BC$6:$BC$53,INDEX(T_Equipos[Grupo],MATCH(BD39,T_Equipos[NombreEquipo],0)))</f>
        <v>1</v>
      </c>
      <c r="CE39" s="16" t="str">
        <f ca="1">IF(COUNTIFS($CD$6:$CD$53,CD39,$BC$6:$BC$53,INDEX(T_Equipos[Grupo],MATCH(BD39,T_Equipos[NombreEquipo],0)))=1,"-","P."&amp;CD39&amp;" ("&amp;COUNTIFS($CD$6:$CD$53,CD39,$BC$6:$BC$53,INDEX(T_Equipos[Grupo],MATCH(BD39,T_Equipos[NombreEquipo],0)))&amp;")")</f>
        <v>P.1 (4)</v>
      </c>
      <c r="CF39" s="16">
        <f t="shared" ca="1" si="29"/>
        <v>0</v>
      </c>
      <c r="CG39" s="16">
        <f ca="1">CD39+COUNTIFS($CE$6:$CE$53,CE39,$CF$6:CF$53,"&gt;"&amp;CF39,$BC$6:$BC$53,INDEX(T_Equipos[Grupo],MATCH(BD39,T_Equipos[NombreEquipo],0)))</f>
        <v>1</v>
      </c>
      <c r="CH39" s="16" t="str">
        <f ca="1">IF(COUNTIFS($CG$6:$CG$53,CG39,$BC$6:$BC$53,INDEX(T_Equipos[Grupo],MATCH(BD39,T_Equipos[NombreEquipo],0)))=1,"-","P."&amp;CG39&amp;" ("&amp;COUNTIFS($CG$6:$CG$53,CG39,$BC$6:$BC$53,INDEX(T_Equipos[Grupo],MATCH(BD39,T_Equipos[NombreEquipo],0)))&amp;")")</f>
        <v>P.1 (4)</v>
      </c>
      <c r="CI39" s="16">
        <f t="shared" ca="1" si="30"/>
        <v>0</v>
      </c>
      <c r="CJ39" s="16">
        <f t="shared" ca="1" si="31"/>
        <v>0</v>
      </c>
      <c r="CK39" s="16">
        <f t="shared" ca="1" si="32"/>
        <v>0</v>
      </c>
      <c r="CL39" s="16">
        <f t="shared" ca="1" si="50"/>
        <v>0</v>
      </c>
      <c r="CM39" s="16">
        <f ca="1">CG39+COUNTIFS($CH$6:$CH$53,CH39,$CL$6:CL$53,"&gt;"&amp;CL39,$BC$6:$BC$53,INDEX(T_Equipos[Grupo],MATCH(BD39,T_Equipos[NombreEquipo],0)))</f>
        <v>1</v>
      </c>
      <c r="CN39" s="16" t="str">
        <f ca="1">IF(COUNTIFS($CM$6:$CM$53,CM39,$BC$6:$BC$53,INDEX(T_Equipos[Grupo],MATCH(BD39,T_Equipos[NombreEquipo],0)))=1,"-","P."&amp;CM39&amp;" ("&amp;COUNTIFS($CM$6:$CM$53,CM39,$BC$6:$BC$53,INDEX(T_Equipos[Grupo],MATCH(BD39,T_Equipos[NombreEquipo],0)))&amp;")")</f>
        <v>P.1 (4)</v>
      </c>
      <c r="CO39" s="16">
        <f t="shared" ca="1" si="33"/>
        <v>0</v>
      </c>
      <c r="CP39" s="16">
        <f t="shared" ca="1" si="34"/>
        <v>0</v>
      </c>
      <c r="CQ39" s="16">
        <f t="shared" ca="1" si="51"/>
        <v>0</v>
      </c>
      <c r="CR39" s="16">
        <f ca="1">CM39+COUNTIFS($CN$6:$CN$53,CN39,$CQ$6:CQ$53,"&gt;"&amp;CQ39,$BC$6:$BC$53,INDEX(T_Equipos[Grupo],MATCH(BD39,T_Equipos[NombreEquipo],0)))</f>
        <v>1</v>
      </c>
      <c r="CS39" s="16" t="str">
        <f ca="1">IF(COUNTIFS($CR$6:$CR$53,CR39,$BC$6:$BC$53,INDEX(T_Equipos[Grupo],MATCH(BD39,T_Equipos[NombreEquipo],0)))=1,"-","P."&amp;CR39&amp;" ("&amp;COUNTIFS($CR$6:$CR$53,CR39,$BC$6:$BC$53,INDEX(T_Equipos[Grupo],MATCH(BD39,T_Equipos[NombreEquipo],0)))&amp;")")</f>
        <v>P.1 (4)</v>
      </c>
      <c r="CT39" s="16">
        <f t="shared" ca="1" si="35"/>
        <v>0</v>
      </c>
      <c r="CU39" s="16">
        <f ca="1">CR39+COUNTIFS($CS$6:$CS$53,CS39,$CT$6:CT$53,"&gt;"&amp;CT39,$BC$6:$BC$53,INDEX(T_Equipos[Grupo],MATCH(BD39,T_Equipos[NombreEquipo],0)))</f>
        <v>1</v>
      </c>
      <c r="CV39" s="16" t="str">
        <f ca="1">IF(COUNTIFS($CU$6:$CU$53,CU39,$BC$6:$BC$53,INDEX(T_Equipos[Grupo],MATCH(BD39,T_Equipos[NombreEquipo],0)))=1,"-","P."&amp;CU39&amp;" ("&amp;COUNTIFS($CU$6:$CU$53,CU39,$BC$6:$BC$53,INDEX(T_Equipos[Grupo],MATCH(BD39,T_Equipos[NombreEquipo],0)))&amp;")")</f>
        <v>P.1 (4)</v>
      </c>
      <c r="CW39" s="16">
        <f t="shared" ca="1" si="36"/>
        <v>0</v>
      </c>
      <c r="CX39" s="16">
        <f ca="1">CU39+COUNTIFS($CV$6:$CV$53,CV39,$CW$6:CW$53,"&gt;"&amp;CW39,$BC$6:$BC$53,INDEX(T_Equipos[Grupo],MATCH(BD39,T_Equipos[NombreEquipo],0)))</f>
        <v>1</v>
      </c>
      <c r="CY39" s="16" t="str">
        <f ca="1">IF(COUNTIFS($CX$6:$CX$53,CX39,$BC$6:$BC$53,INDEX(T_Equipos[Grupo],MATCH(BD39,T_Equipos[NombreEquipo],0)))=1,"-","P."&amp;CX39&amp;" ("&amp;COUNTIFS($CX$6:$CX$53,CX39,$BC$6:$BC$53,INDEX(T_Equipos[Grupo],MATCH(BD39,T_Equipos[NombreEquipo],0)))&amp;")")</f>
        <v>P.1 (4)</v>
      </c>
      <c r="CZ39" s="16">
        <f t="shared" ca="1" si="37"/>
        <v>0</v>
      </c>
      <c r="DA39" s="16">
        <f ca="1">CX39+COUNTIFS($CY$6:$CY$53,CY39,$CZ$6:CZ$53,"&gt;"&amp;CZ39,$BC$6:$BC$53,INDEX(T_Equipos[Grupo],MATCH(BD39,T_Equipos[NombreEquipo],0)))</f>
        <v>1</v>
      </c>
      <c r="DB39" s="16" t="str">
        <f ca="1">IF(COUNTIFS($DA$6:$DA$53,DA39,$BC$6:$BC$53,INDEX(T_Equipos[Grupo],MATCH(BD39,T_Equipos[NombreEquipo],0)))=1,"-","P."&amp;DA39&amp;" ("&amp;COUNTIFS($DA$6:$DA$53,DA39,$BC$6:$BC$53,INDEX(T_Equipos[Grupo],MATCH(BD39,T_Equipos[NombreEquipo],0)))&amp;")")</f>
        <v>P.1 (4)</v>
      </c>
      <c r="DC39" s="16">
        <f ca="1">IF(DB39="-","-",COUNTIFS(T_Equipos[Rank],"&lt;"&amp;INDEX(T_Equipos[Rank],MATCH(BD39,T_Equipos[NombreEquipo],0)),$BC$6:$BC$53,INDEX(T_Equipos[Grupo],MATCH(BD39,T_Equipos[NombreEquipo],0)))+1)</f>
        <v>2</v>
      </c>
      <c r="DD39" s="16">
        <f ca="1">DA39+COUNTIFS($DB$6:$DB$53,DB39,$DC$6:DC$53,"&lt;"&amp;DC39,$BC$6:$BC$53,INDEX(T_Equipos[Grupo],MATCH(BD39,T_Equipos[NombreEquipo],0)))</f>
        <v>2</v>
      </c>
      <c r="DE39" s="16"/>
      <c r="DF39" s="16">
        <f t="shared" ca="1" si="52"/>
        <v>2</v>
      </c>
      <c r="DG39" s="16">
        <f ca="1">IF(DB39="-","-",COUNTIFS(DF$6:DF$53,"&lt;"&amp;DF39,$BC$6:$BC$53,INDEX(T_Equipos[Grupo],MATCH(BD39,T_Equipos[NombreEquipo],0))))</f>
        <v>1</v>
      </c>
      <c r="DH39" s="16">
        <f ca="1">DA39+COUNTIFS(DB$6:DB$53,DB39,DG$6:DG$53,"&lt;"&amp;DG39,$BC$6:$BC$53,INDEX(T_Equipos[Grupo],MATCH(BD39,T_Equipos[NombreEquipo],0)))</f>
        <v>2</v>
      </c>
      <c r="DI39" s="16"/>
      <c r="DJ39" s="16">
        <f t="shared" ca="1" si="38"/>
        <v>1</v>
      </c>
      <c r="DK39" s="16">
        <f t="shared" ca="1" si="39"/>
        <v>0</v>
      </c>
      <c r="DL39" s="16">
        <f t="shared" ca="1" si="40"/>
        <v>1</v>
      </c>
      <c r="DM39" s="16" t="str">
        <f t="shared" ca="1" si="46"/>
        <v>1.1</v>
      </c>
      <c r="DN39" s="16" cm="1">
        <f t="array" aca="1" ref="DN39" ca="1">OFFSET(Horarios!$P$3,DJ39-1,0,DL39,1)</f>
        <v>1</v>
      </c>
      <c r="DO39" s="16"/>
      <c r="DP39" s="16" t="s">
        <v>685</v>
      </c>
      <c r="DQ39" s="16" t="str">
        <f t="shared" ca="1" si="47"/>
        <v>Senegal</v>
      </c>
    </row>
    <row r="40" spans="1:121" ht="16" customHeight="1" x14ac:dyDescent="0.2">
      <c r="A40" s="16" t="str">
        <f ca="1">+Equipos!B21</f>
        <v>Ecuador</v>
      </c>
      <c r="B40" s="16"/>
      <c r="C40" s="16"/>
      <c r="D40" s="16" t="str">
        <f t="shared" si="111"/>
        <v>Pendiente</v>
      </c>
      <c r="E40" s="16" t="str">
        <f t="shared" si="112"/>
        <v>-</v>
      </c>
      <c r="F40" s="16" t="str">
        <f t="shared" si="113"/>
        <v>-</v>
      </c>
      <c r="G40" s="16"/>
      <c r="H40" s="16" t="str">
        <f t="shared" si="114"/>
        <v>-</v>
      </c>
      <c r="I40" s="16" t="str">
        <f t="shared" si="115"/>
        <v>-</v>
      </c>
      <c r="J40" s="16"/>
      <c r="K40" s="16" t="str">
        <f t="shared" si="116"/>
        <v>-</v>
      </c>
      <c r="L40" s="16" t="str">
        <f t="shared" si="117"/>
        <v>-</v>
      </c>
      <c r="M40" s="16"/>
      <c r="N40" s="16" t="str">
        <f t="shared" si="118"/>
        <v>-</v>
      </c>
      <c r="O40" s="16" t="str">
        <f t="shared" si="119"/>
        <v>-</v>
      </c>
      <c r="P40" s="16"/>
      <c r="Q40" s="16" t="str">
        <f t="shared" si="120"/>
        <v>-</v>
      </c>
      <c r="R40" s="16" t="str">
        <f t="shared" si="121"/>
        <v>-</v>
      </c>
      <c r="S40" s="16"/>
      <c r="T40" s="16" t="str">
        <f t="shared" si="122"/>
        <v>-</v>
      </c>
      <c r="U40" s="16" t="str">
        <f t="shared" si="123"/>
        <v>-</v>
      </c>
      <c r="V40" s="17"/>
      <c r="W40" s="653"/>
      <c r="X40" s="24">
        <f ca="1">Horarios!C40</f>
        <v>46198.666666666664</v>
      </c>
      <c r="Y40" s="25">
        <f ca="1">Horarios!C40</f>
        <v>46198.666666666664</v>
      </c>
      <c r="Z40" s="26" t="str">
        <f>$Z$8</f>
        <v>R3</v>
      </c>
      <c r="AA40" s="27" t="str">
        <f ca="1">A38</f>
        <v>Curaçao</v>
      </c>
      <c r="AB40" s="49" t="str" cm="1">
        <f t="array" aca="1" ref="AB40" ca="1">Ver_flag_local</f>
        <v>🇨🇼</v>
      </c>
      <c r="AC40" s="50"/>
      <c r="AD40" s="51"/>
      <c r="AE40" s="595" t="str" cm="1">
        <f t="array" aca="1" ref="AE40" ca="1">Ver_flag_visit</f>
        <v>🇨🇮</v>
      </c>
      <c r="AF40" s="32" t="str">
        <f ca="1">A39</f>
        <v>Ivory Coast</v>
      </c>
      <c r="AG40" s="323">
        <f t="shared" si="124"/>
        <v>0</v>
      </c>
      <c r="AH40" s="195">
        <v>55</v>
      </c>
      <c r="AI40" s="181" t="str">
        <f t="shared" si="128"/>
        <v>3E</v>
      </c>
      <c r="AJ40" s="42">
        <v>3</v>
      </c>
      <c r="AK40" s="602" t="str" cm="1">
        <f t="array" aca="1" ref="AK40" ca="1">Ver_flag_visit</f>
        <v>🇨🇮</v>
      </c>
      <c r="AL40" s="37" t="str">
        <f ca="1">IFERROR(INDEX($BD$6:$BD$53,MATCH(AI40,$BN$6:$BN$53,0)),"")</f>
        <v>Ivory Coast</v>
      </c>
      <c r="AM40" s="38">
        <f t="shared" ca="1" si="127"/>
        <v>0</v>
      </c>
      <c r="AN40" s="39">
        <f t="shared" ca="1" si="127"/>
        <v>0</v>
      </c>
      <c r="AO40" s="39">
        <f t="shared" ca="1" si="127"/>
        <v>0</v>
      </c>
      <c r="AP40" s="39">
        <f t="shared" ca="1" si="127"/>
        <v>0</v>
      </c>
      <c r="AQ40" s="39">
        <f t="shared" ca="1" si="127"/>
        <v>0</v>
      </c>
      <c r="AR40" s="39">
        <f t="shared" ca="1" si="127"/>
        <v>0</v>
      </c>
      <c r="AS40" s="39">
        <f t="shared" ca="1" si="127"/>
        <v>0</v>
      </c>
      <c r="AT40" s="43">
        <f t="shared" ca="1" si="127"/>
        <v>0</v>
      </c>
      <c r="AU40" s="330">
        <f ca="1">INDEX($DL$6:$DL$53,MATCH(AI40,$DP$6:$DP$53,0))</f>
        <v>1</v>
      </c>
      <c r="AV40" s="182" t="str">
        <f ca="1">INDEX($BD$6:$BD$53,MATCH(AI40,$BM$6:$BM$53,0))</f>
        <v>Ivory Coast</v>
      </c>
      <c r="AW40" s="210"/>
      <c r="AX40" s="171"/>
      <c r="AY40" s="201" t="str">
        <f ca="1">+A39</f>
        <v>Ivory Coast</v>
      </c>
      <c r="AZ40" s="202"/>
      <c r="BA40" s="176"/>
      <c r="BC40" s="16" t="str">
        <f ca="1">+INDEX(T_Equipos[Grupo],MATCH(WORLDCUP!BD40,T_Equipos[NombreEquipo],0))</f>
        <v>I</v>
      </c>
      <c r="BD40" s="16" t="str">
        <f ca="1">+Equipos!B36</f>
        <v>Iraq</v>
      </c>
      <c r="BE40" s="16">
        <f t="shared" ca="1" si="16"/>
        <v>0</v>
      </c>
      <c r="BF40" s="16">
        <f t="shared" ca="1" si="41"/>
        <v>0</v>
      </c>
      <c r="BG40" s="16">
        <f t="shared" ca="1" si="17"/>
        <v>0</v>
      </c>
      <c r="BH40" s="16">
        <f t="shared" ca="1" si="18"/>
        <v>0</v>
      </c>
      <c r="BI40" s="16">
        <f t="shared" ca="1" si="19"/>
        <v>0</v>
      </c>
      <c r="BJ40" s="16">
        <f t="shared" ca="1" si="20"/>
        <v>0</v>
      </c>
      <c r="BK40" s="16">
        <f t="shared" ca="1" si="21"/>
        <v>0</v>
      </c>
      <c r="BL40" s="16">
        <f t="shared" ca="1" si="42"/>
        <v>0</v>
      </c>
      <c r="BM40" s="16" t="str">
        <f t="shared" ca="1" si="22"/>
        <v>3I</v>
      </c>
      <c r="BN40" s="16" t="str">
        <f t="shared" ca="1" si="23"/>
        <v>3I</v>
      </c>
      <c r="BO40" s="16">
        <f t="shared" ca="1" si="43"/>
        <v>0</v>
      </c>
      <c r="BP40" s="16">
        <f ca="1">COUNTIFS($BO$6:$BO$53,"&gt;"&amp;BO40,$BC$6:$BC$53,INDEX(T_Equipos[Grupo],MATCH(BD40,T_Equipos[NombreEquipo],0)))+1</f>
        <v>1</v>
      </c>
      <c r="BQ40" s="16" t="str">
        <f ca="1">IF(COUNTIFS($BP$6:$BP$53,BP40,$BC$6:$BC$53,INDEX(T_Equipos[Grupo],MATCH(BD40,T_Equipos[NombreEquipo],0)))=1,"-","P."&amp;BP40&amp;" ("&amp;COUNTIFS($BP$6:$BP$53,BP40,$BC$6:$BC$53,INDEX(T_Equipos[Grupo],MATCH(BD40,T_Equipos[NombreEquipo],0)))&amp;")")</f>
        <v>P.1 (4)</v>
      </c>
      <c r="BR40" s="16">
        <f t="shared" ca="1" si="44"/>
        <v>0</v>
      </c>
      <c r="BS40" s="16">
        <f ca="1">BP40+COUNTIFS($BQ$6:$BQ$53,BQ40,$BR$6:BR$53,"&gt;"&amp;BR40,$BC$6:$BC$53,INDEX(T_Equipos[Grupo],MATCH(BD40,T_Equipos[NombreEquipo],0)))</f>
        <v>1</v>
      </c>
      <c r="BT40" s="16" t="str">
        <f ca="1">IF(COUNTIFS($BS$6:$BS$53,BS40,$BC$6:$BC$53,INDEX(T_Equipos[Grupo],MATCH(BD40,T_Equipos[NombreEquipo],0)))=1,"-","P."&amp;BS40&amp;" ("&amp;COUNTIFS($BS$6:$BS$53,BS40,$BC$6:$BC$53,INDEX(T_Equipos[Grupo],MATCH(BD40,T_Equipos[NombreEquipo],0)))&amp;")")</f>
        <v>P.1 (4)</v>
      </c>
      <c r="BU40" s="16">
        <f t="shared" ca="1" si="24"/>
        <v>0</v>
      </c>
      <c r="BV40" s="16">
        <f t="shared" ca="1" si="25"/>
        <v>0</v>
      </c>
      <c r="BW40" s="16">
        <f t="shared" ca="1" si="26"/>
        <v>0</v>
      </c>
      <c r="BX40" s="16">
        <f t="shared" ca="1" si="48"/>
        <v>0</v>
      </c>
      <c r="BY40" s="16">
        <f ca="1">BS40+COUNTIFS($BT$6:$BT$53,BT40,$BX$6:BX$53,"&gt;"&amp;BX40,$BC$6:$BC$53,INDEX(T_Equipos[Grupo],MATCH(BD40,T_Equipos[NombreEquipo],0)))</f>
        <v>1</v>
      </c>
      <c r="BZ40" s="16" t="str">
        <f ca="1">IF(COUNTIFS($BY$6:$BY$53,BY40,$BC$6:$BC$53,INDEX(T_Equipos[Grupo],MATCH(BD40,T_Equipos[NombreEquipo],0)))=1,"-","P."&amp;BY40&amp;" ("&amp;COUNTIFS($BY$6:$BY$53,BY40,$BC$6:$BC$53,INDEX(T_Equipos[Grupo],MATCH(BD40,T_Equipos[NombreEquipo],0)))&amp;")")</f>
        <v>P.1 (4)</v>
      </c>
      <c r="CA40" s="16">
        <f t="shared" ca="1" si="27"/>
        <v>0</v>
      </c>
      <c r="CB40" s="16">
        <f t="shared" ca="1" si="28"/>
        <v>0</v>
      </c>
      <c r="CC40" s="16">
        <f t="shared" ca="1" si="49"/>
        <v>0</v>
      </c>
      <c r="CD40" s="16">
        <f ca="1">BY40+COUNTIFS($BZ$6:$BZ$53,BZ40,$CC$6:CC$53,"&gt;"&amp;CC40,$BC$6:$BC$53,INDEX(T_Equipos[Grupo],MATCH(BD40,T_Equipos[NombreEquipo],0)))</f>
        <v>1</v>
      </c>
      <c r="CE40" s="16" t="str">
        <f ca="1">IF(COUNTIFS($CD$6:$CD$53,CD40,$BC$6:$BC$53,INDEX(T_Equipos[Grupo],MATCH(BD40,T_Equipos[NombreEquipo],0)))=1,"-","P."&amp;CD40&amp;" ("&amp;COUNTIFS($CD$6:$CD$53,CD40,$BC$6:$BC$53,INDEX(T_Equipos[Grupo],MATCH(BD40,T_Equipos[NombreEquipo],0)))&amp;")")</f>
        <v>P.1 (4)</v>
      </c>
      <c r="CF40" s="16">
        <f t="shared" ca="1" si="29"/>
        <v>0</v>
      </c>
      <c r="CG40" s="16">
        <f ca="1">CD40+COUNTIFS($CE$6:$CE$53,CE40,$CF$6:CF$53,"&gt;"&amp;CF40,$BC$6:$BC$53,INDEX(T_Equipos[Grupo],MATCH(BD40,T_Equipos[NombreEquipo],0)))</f>
        <v>1</v>
      </c>
      <c r="CH40" s="16" t="str">
        <f ca="1">IF(COUNTIFS($CG$6:$CG$53,CG40,$BC$6:$BC$53,INDEX(T_Equipos[Grupo],MATCH(BD40,T_Equipos[NombreEquipo],0)))=1,"-","P."&amp;CG40&amp;" ("&amp;COUNTIFS($CG$6:$CG$53,CG40,$BC$6:$BC$53,INDEX(T_Equipos[Grupo],MATCH(BD40,T_Equipos[NombreEquipo],0)))&amp;")")</f>
        <v>P.1 (4)</v>
      </c>
      <c r="CI40" s="16">
        <f t="shared" ca="1" si="30"/>
        <v>0</v>
      </c>
      <c r="CJ40" s="16">
        <f t="shared" ca="1" si="31"/>
        <v>0</v>
      </c>
      <c r="CK40" s="16">
        <f t="shared" ca="1" si="32"/>
        <v>0</v>
      </c>
      <c r="CL40" s="16">
        <f t="shared" ca="1" si="50"/>
        <v>0</v>
      </c>
      <c r="CM40" s="16">
        <f ca="1">CG40+COUNTIFS($CH$6:$CH$53,CH40,$CL$6:CL$53,"&gt;"&amp;CL40,$BC$6:$BC$53,INDEX(T_Equipos[Grupo],MATCH(BD40,T_Equipos[NombreEquipo],0)))</f>
        <v>1</v>
      </c>
      <c r="CN40" s="16" t="str">
        <f ca="1">IF(COUNTIFS($CM$6:$CM$53,CM40,$BC$6:$BC$53,INDEX(T_Equipos[Grupo],MATCH(BD40,T_Equipos[NombreEquipo],0)))=1,"-","P."&amp;CM40&amp;" ("&amp;COUNTIFS($CM$6:$CM$53,CM40,$BC$6:$BC$53,INDEX(T_Equipos[Grupo],MATCH(BD40,T_Equipos[NombreEquipo],0)))&amp;")")</f>
        <v>P.1 (4)</v>
      </c>
      <c r="CO40" s="16">
        <f t="shared" ca="1" si="33"/>
        <v>0</v>
      </c>
      <c r="CP40" s="16">
        <f t="shared" ca="1" si="34"/>
        <v>0</v>
      </c>
      <c r="CQ40" s="16">
        <f t="shared" ca="1" si="51"/>
        <v>0</v>
      </c>
      <c r="CR40" s="16">
        <f ca="1">CM40+COUNTIFS($CN$6:$CN$53,CN40,$CQ$6:CQ$53,"&gt;"&amp;CQ40,$BC$6:$BC$53,INDEX(T_Equipos[Grupo],MATCH(BD40,T_Equipos[NombreEquipo],0)))</f>
        <v>1</v>
      </c>
      <c r="CS40" s="16" t="str">
        <f ca="1">IF(COUNTIFS($CR$6:$CR$53,CR40,$BC$6:$BC$53,INDEX(T_Equipos[Grupo],MATCH(BD40,T_Equipos[NombreEquipo],0)))=1,"-","P."&amp;CR40&amp;" ("&amp;COUNTIFS($CR$6:$CR$53,CR40,$BC$6:$BC$53,INDEX(T_Equipos[Grupo],MATCH(BD40,T_Equipos[NombreEquipo],0)))&amp;")")</f>
        <v>P.1 (4)</v>
      </c>
      <c r="CT40" s="16">
        <f t="shared" ca="1" si="35"/>
        <v>0</v>
      </c>
      <c r="CU40" s="16">
        <f ca="1">CR40+COUNTIFS($CS$6:$CS$53,CS40,$CT$6:CT$53,"&gt;"&amp;CT40,$BC$6:$BC$53,INDEX(T_Equipos[Grupo],MATCH(BD40,T_Equipos[NombreEquipo],0)))</f>
        <v>1</v>
      </c>
      <c r="CV40" s="16" t="str">
        <f ca="1">IF(COUNTIFS($CU$6:$CU$53,CU40,$BC$6:$BC$53,INDEX(T_Equipos[Grupo],MATCH(BD40,T_Equipos[NombreEquipo],0)))=1,"-","P."&amp;CU40&amp;" ("&amp;COUNTIFS($CU$6:$CU$53,CU40,$BC$6:$BC$53,INDEX(T_Equipos[Grupo],MATCH(BD40,T_Equipos[NombreEquipo],0)))&amp;")")</f>
        <v>P.1 (4)</v>
      </c>
      <c r="CW40" s="16">
        <f t="shared" ca="1" si="36"/>
        <v>0</v>
      </c>
      <c r="CX40" s="16">
        <f ca="1">CU40+COUNTIFS($CV$6:$CV$53,CV40,$CW$6:CW$53,"&gt;"&amp;CW40,$BC$6:$BC$53,INDEX(T_Equipos[Grupo],MATCH(BD40,T_Equipos[NombreEquipo],0)))</f>
        <v>1</v>
      </c>
      <c r="CY40" s="16" t="str">
        <f ca="1">IF(COUNTIFS($CX$6:$CX$53,CX40,$BC$6:$BC$53,INDEX(T_Equipos[Grupo],MATCH(BD40,T_Equipos[NombreEquipo],0)))=1,"-","P."&amp;CX40&amp;" ("&amp;COUNTIFS($CX$6:$CX$53,CX40,$BC$6:$BC$53,INDEX(T_Equipos[Grupo],MATCH(BD40,T_Equipos[NombreEquipo],0)))&amp;")")</f>
        <v>P.1 (4)</v>
      </c>
      <c r="CZ40" s="16">
        <f t="shared" ca="1" si="37"/>
        <v>0</v>
      </c>
      <c r="DA40" s="16">
        <f ca="1">CX40+COUNTIFS($CY$6:$CY$53,CY40,$CZ$6:CZ$53,"&gt;"&amp;CZ40,$BC$6:$BC$53,INDEX(T_Equipos[Grupo],MATCH(BD40,T_Equipos[NombreEquipo],0)))</f>
        <v>1</v>
      </c>
      <c r="DB40" s="16" t="str">
        <f ca="1">IF(COUNTIFS($DA$6:$DA$53,DA40,$BC$6:$BC$53,INDEX(T_Equipos[Grupo],MATCH(BD40,T_Equipos[NombreEquipo],0)))=1,"-","P."&amp;DA40&amp;" ("&amp;COUNTIFS($DA$6:$DA$53,DA40,$BC$6:$BC$53,INDEX(T_Equipos[Grupo],MATCH(BD40,T_Equipos[NombreEquipo],0)))&amp;")")</f>
        <v>P.1 (4)</v>
      </c>
      <c r="DC40" s="16">
        <f ca="1">IF(DB40="-","-",COUNTIFS(T_Equipos[Rank],"&lt;"&amp;INDEX(T_Equipos[Rank],MATCH(BD40,T_Equipos[NombreEquipo],0)),$BC$6:$BC$53,INDEX(T_Equipos[Grupo],MATCH(BD40,T_Equipos[NombreEquipo],0)))+1)</f>
        <v>3</v>
      </c>
      <c r="DD40" s="16">
        <f ca="1">DA40+COUNTIFS($DB$6:$DB$53,DB40,$DC$6:DC$53,"&lt;"&amp;DC40,$BC$6:$BC$53,INDEX(T_Equipos[Grupo],MATCH(BD40,T_Equipos[NombreEquipo],0)))</f>
        <v>3</v>
      </c>
      <c r="DE40" s="16"/>
      <c r="DF40" s="16">
        <f t="shared" ca="1" si="52"/>
        <v>3</v>
      </c>
      <c r="DG40" s="16">
        <f ca="1">IF(DB40="-","-",COUNTIFS(DF$6:DF$53,"&lt;"&amp;DF40,$BC$6:$BC$53,INDEX(T_Equipos[Grupo],MATCH(BD40,T_Equipos[NombreEquipo],0))))</f>
        <v>2</v>
      </c>
      <c r="DH40" s="16">
        <f ca="1">DA40+COUNTIFS(DB$6:DB$53,DB40,DG$6:DG$53,"&lt;"&amp;DG40,$BC$6:$BC$53,INDEX(T_Equipos[Grupo],MATCH(BD40,T_Equipos[NombreEquipo],0)))</f>
        <v>3</v>
      </c>
      <c r="DI40" s="16"/>
      <c r="DJ40" s="16">
        <f t="shared" ca="1" si="38"/>
        <v>1</v>
      </c>
      <c r="DK40" s="16">
        <f t="shared" ca="1" si="39"/>
        <v>0</v>
      </c>
      <c r="DL40" s="16">
        <f t="shared" ca="1" si="40"/>
        <v>1</v>
      </c>
      <c r="DM40" s="16" t="str">
        <f t="shared" ca="1" si="46"/>
        <v>1.1</v>
      </c>
      <c r="DN40" s="16" cm="1">
        <f t="array" aca="1" ref="DN40" ca="1">OFFSET(Horarios!$P$3,DJ40-1,0,DL40,1)</f>
        <v>1</v>
      </c>
      <c r="DO40" s="16"/>
      <c r="DP40" s="16" t="s">
        <v>450</v>
      </c>
      <c r="DQ40" s="16" t="str">
        <f t="shared" ca="1" si="47"/>
        <v>Iraq</v>
      </c>
    </row>
    <row r="41" spans="1:121" ht="16" customHeight="1" thickBot="1" x14ac:dyDescent="0.25">
      <c r="A41" s="16"/>
      <c r="B41" s="16"/>
      <c r="C41" s="16"/>
      <c r="D41" s="16" t="str">
        <f t="shared" si="111"/>
        <v>Pendiente</v>
      </c>
      <c r="E41" s="16" t="str">
        <f t="shared" si="112"/>
        <v>-</v>
      </c>
      <c r="F41" s="16" t="str">
        <f t="shared" si="113"/>
        <v>-</v>
      </c>
      <c r="G41" s="16"/>
      <c r="H41" s="16" t="str">
        <f t="shared" si="114"/>
        <v>-</v>
      </c>
      <c r="I41" s="16" t="str">
        <f t="shared" si="115"/>
        <v>-</v>
      </c>
      <c r="J41" s="16"/>
      <c r="K41" s="16" t="str">
        <f t="shared" si="116"/>
        <v>-</v>
      </c>
      <c r="L41" s="16" t="str">
        <f t="shared" si="117"/>
        <v>-</v>
      </c>
      <c r="M41" s="16"/>
      <c r="N41" s="16" t="str">
        <f t="shared" si="118"/>
        <v>-</v>
      </c>
      <c r="O41" s="16" t="str">
        <f t="shared" si="119"/>
        <v>-</v>
      </c>
      <c r="P41" s="16"/>
      <c r="Q41" s="16" t="str">
        <f t="shared" si="120"/>
        <v>-</v>
      </c>
      <c r="R41" s="16" t="str">
        <f t="shared" si="121"/>
        <v>-</v>
      </c>
      <c r="S41" s="16"/>
      <c r="T41" s="16" t="str">
        <f t="shared" si="122"/>
        <v>-</v>
      </c>
      <c r="U41" s="16" t="str">
        <f t="shared" si="123"/>
        <v>-</v>
      </c>
      <c r="V41" s="17"/>
      <c r="W41" s="654"/>
      <c r="X41" s="28">
        <f ca="1">Horarios!C41</f>
        <v>46198.666666666664</v>
      </c>
      <c r="Y41" s="29">
        <f ca="1">Horarios!C41</f>
        <v>46198.666666666664</v>
      </c>
      <c r="Z41" s="30" t="str">
        <f>$Z$8</f>
        <v>R3</v>
      </c>
      <c r="AA41" s="31" t="str">
        <f ca="1">A40</f>
        <v>Ecuador</v>
      </c>
      <c r="AB41" s="52" t="str" cm="1">
        <f t="array" aca="1" ref="AB41" ca="1">Ver_flag_local</f>
        <v>🇪🇨</v>
      </c>
      <c r="AC41" s="53"/>
      <c r="AD41" s="54"/>
      <c r="AE41" s="596" t="str" cm="1">
        <f t="array" aca="1" ref="AE41" ca="1">Ver_flag_visit</f>
        <v>🇩🇪</v>
      </c>
      <c r="AF41" s="33" t="str">
        <f ca="1">A37</f>
        <v>Germany</v>
      </c>
      <c r="AG41" s="323">
        <f t="shared" si="124"/>
        <v>0</v>
      </c>
      <c r="AH41" s="195">
        <v>56</v>
      </c>
      <c r="AI41" s="181" t="str">
        <f t="shared" si="128"/>
        <v>4E</v>
      </c>
      <c r="AJ41" s="44">
        <v>4</v>
      </c>
      <c r="AK41" s="604" t="str" cm="1">
        <f t="array" aca="1" ref="AK41" ca="1">Ver_flag_visit</f>
        <v>🇪🇨</v>
      </c>
      <c r="AL41" s="45" t="str">
        <f ca="1">IFERROR(INDEX($BD$6:$BD$53,MATCH(AI41,$BN$6:$BN$53,0)),"")</f>
        <v>Ecuador</v>
      </c>
      <c r="AM41" s="46">
        <f t="shared" ca="1" si="127"/>
        <v>0</v>
      </c>
      <c r="AN41" s="47">
        <f t="shared" ca="1" si="127"/>
        <v>0</v>
      </c>
      <c r="AO41" s="47">
        <f t="shared" ca="1" si="127"/>
        <v>0</v>
      </c>
      <c r="AP41" s="47">
        <f t="shared" ca="1" si="127"/>
        <v>0</v>
      </c>
      <c r="AQ41" s="47">
        <f t="shared" ca="1" si="127"/>
        <v>0</v>
      </c>
      <c r="AR41" s="47">
        <f t="shared" ca="1" si="127"/>
        <v>0</v>
      </c>
      <c r="AS41" s="47">
        <f t="shared" ca="1" si="127"/>
        <v>0</v>
      </c>
      <c r="AT41" s="48">
        <f t="shared" ca="1" si="127"/>
        <v>0</v>
      </c>
      <c r="AU41" s="330">
        <f ca="1">INDEX($DL$6:$DL$53,MATCH(AI41,$DP$6:$DP$53,0))</f>
        <v>1</v>
      </c>
      <c r="AV41" s="182" t="str">
        <f ca="1">INDEX($BD$6:$BD$53,MATCH(AI41,$BM$6:$BM$53,0))</f>
        <v>Ecuador</v>
      </c>
      <c r="AW41" s="210"/>
      <c r="AX41" s="171"/>
      <c r="AY41" s="205" t="str">
        <f ca="1">+A40</f>
        <v>Ecuador</v>
      </c>
      <c r="AZ41" s="206"/>
      <c r="BA41" s="176"/>
      <c r="BC41" s="16" t="str">
        <f ca="1">+INDEX(T_Equipos[Grupo],MATCH(WORLDCUP!BD41,T_Equipos[NombreEquipo],0))</f>
        <v>I</v>
      </c>
      <c r="BD41" s="16" t="str">
        <f ca="1">+Equipos!B37</f>
        <v>Norway</v>
      </c>
      <c r="BE41" s="16">
        <f t="shared" ca="1" si="16"/>
        <v>0</v>
      </c>
      <c r="BF41" s="16">
        <f t="shared" ca="1" si="41"/>
        <v>0</v>
      </c>
      <c r="BG41" s="16">
        <f t="shared" ca="1" si="17"/>
        <v>0</v>
      </c>
      <c r="BH41" s="16">
        <f t="shared" ca="1" si="18"/>
        <v>0</v>
      </c>
      <c r="BI41" s="16">
        <f t="shared" ca="1" si="19"/>
        <v>0</v>
      </c>
      <c r="BJ41" s="16">
        <f t="shared" ca="1" si="20"/>
        <v>0</v>
      </c>
      <c r="BK41" s="16">
        <f t="shared" ca="1" si="21"/>
        <v>0</v>
      </c>
      <c r="BL41" s="16">
        <f t="shared" ca="1" si="42"/>
        <v>0</v>
      </c>
      <c r="BM41" s="16" t="str">
        <f t="shared" ca="1" si="22"/>
        <v>4I</v>
      </c>
      <c r="BN41" s="16" t="str">
        <f t="shared" ca="1" si="23"/>
        <v>4I</v>
      </c>
      <c r="BO41" s="16">
        <f t="shared" ca="1" si="43"/>
        <v>0</v>
      </c>
      <c r="BP41" s="16">
        <f ca="1">COUNTIFS($BO$6:$BO$53,"&gt;"&amp;BO41,$BC$6:$BC$53,INDEX(T_Equipos[Grupo],MATCH(BD41,T_Equipos[NombreEquipo],0)))+1</f>
        <v>1</v>
      </c>
      <c r="BQ41" s="16" t="str">
        <f ca="1">IF(COUNTIFS($BP$6:$BP$53,BP41,$BC$6:$BC$53,INDEX(T_Equipos[Grupo],MATCH(BD41,T_Equipos[NombreEquipo],0)))=1,"-","P."&amp;BP41&amp;" ("&amp;COUNTIFS($BP$6:$BP$53,BP41,$BC$6:$BC$53,INDEX(T_Equipos[Grupo],MATCH(BD41,T_Equipos[NombreEquipo],0)))&amp;")")</f>
        <v>P.1 (4)</v>
      </c>
      <c r="BR41" s="16">
        <f t="shared" ca="1" si="44"/>
        <v>0</v>
      </c>
      <c r="BS41" s="16">
        <f ca="1">BP41+COUNTIFS($BQ$6:$BQ$53,BQ41,$BR$6:BR$53,"&gt;"&amp;BR41,$BC$6:$BC$53,INDEX(T_Equipos[Grupo],MATCH(BD41,T_Equipos[NombreEquipo],0)))</f>
        <v>1</v>
      </c>
      <c r="BT41" s="16" t="str">
        <f ca="1">IF(COUNTIFS($BS$6:$BS$53,BS41,$BC$6:$BC$53,INDEX(T_Equipos[Grupo],MATCH(BD41,T_Equipos[NombreEquipo],0)))=1,"-","P."&amp;BS41&amp;" ("&amp;COUNTIFS($BS$6:$BS$53,BS41,$BC$6:$BC$53,INDEX(T_Equipos[Grupo],MATCH(BD41,T_Equipos[NombreEquipo],0)))&amp;")")</f>
        <v>P.1 (4)</v>
      </c>
      <c r="BU41" s="16">
        <f t="shared" ca="1" si="24"/>
        <v>0</v>
      </c>
      <c r="BV41" s="16">
        <f t="shared" ca="1" si="25"/>
        <v>0</v>
      </c>
      <c r="BW41" s="16">
        <f t="shared" ca="1" si="26"/>
        <v>0</v>
      </c>
      <c r="BX41" s="16">
        <f t="shared" ca="1" si="48"/>
        <v>0</v>
      </c>
      <c r="BY41" s="16">
        <f ca="1">BS41+COUNTIFS($BT$6:$BT$53,BT41,$BX$6:BX$53,"&gt;"&amp;BX41,$BC$6:$BC$53,INDEX(T_Equipos[Grupo],MATCH(BD41,T_Equipos[NombreEquipo],0)))</f>
        <v>1</v>
      </c>
      <c r="BZ41" s="16" t="str">
        <f ca="1">IF(COUNTIFS($BY$6:$BY$53,BY41,$BC$6:$BC$53,INDEX(T_Equipos[Grupo],MATCH(BD41,T_Equipos[NombreEquipo],0)))=1,"-","P."&amp;BY41&amp;" ("&amp;COUNTIFS($BY$6:$BY$53,BY41,$BC$6:$BC$53,INDEX(T_Equipos[Grupo],MATCH(BD41,T_Equipos[NombreEquipo],0)))&amp;")")</f>
        <v>P.1 (4)</v>
      </c>
      <c r="CA41" s="16">
        <f t="shared" ca="1" si="27"/>
        <v>0</v>
      </c>
      <c r="CB41" s="16">
        <f t="shared" ca="1" si="28"/>
        <v>0</v>
      </c>
      <c r="CC41" s="16">
        <f t="shared" ca="1" si="49"/>
        <v>0</v>
      </c>
      <c r="CD41" s="16">
        <f ca="1">BY41+COUNTIFS($BZ$6:$BZ$53,BZ41,$CC$6:CC$53,"&gt;"&amp;CC41,$BC$6:$BC$53,INDEX(T_Equipos[Grupo],MATCH(BD41,T_Equipos[NombreEquipo],0)))</f>
        <v>1</v>
      </c>
      <c r="CE41" s="16" t="str">
        <f ca="1">IF(COUNTIFS($CD$6:$CD$53,CD41,$BC$6:$BC$53,INDEX(T_Equipos[Grupo],MATCH(BD41,T_Equipos[NombreEquipo],0)))=1,"-","P."&amp;CD41&amp;" ("&amp;COUNTIFS($CD$6:$CD$53,CD41,$BC$6:$BC$53,INDEX(T_Equipos[Grupo],MATCH(BD41,T_Equipos[NombreEquipo],0)))&amp;")")</f>
        <v>P.1 (4)</v>
      </c>
      <c r="CF41" s="16">
        <f t="shared" ca="1" si="29"/>
        <v>0</v>
      </c>
      <c r="CG41" s="16">
        <f ca="1">CD41+COUNTIFS($CE$6:$CE$53,CE41,$CF$6:CF$53,"&gt;"&amp;CF41,$BC$6:$BC$53,INDEX(T_Equipos[Grupo],MATCH(BD41,T_Equipos[NombreEquipo],0)))</f>
        <v>1</v>
      </c>
      <c r="CH41" s="16" t="str">
        <f ca="1">IF(COUNTIFS($CG$6:$CG$53,CG41,$BC$6:$BC$53,INDEX(T_Equipos[Grupo],MATCH(BD41,T_Equipos[NombreEquipo],0)))=1,"-","P."&amp;CG41&amp;" ("&amp;COUNTIFS($CG$6:$CG$53,CG41,$BC$6:$BC$53,INDEX(T_Equipos[Grupo],MATCH(BD41,T_Equipos[NombreEquipo],0)))&amp;")")</f>
        <v>P.1 (4)</v>
      </c>
      <c r="CI41" s="16">
        <f t="shared" ca="1" si="30"/>
        <v>0</v>
      </c>
      <c r="CJ41" s="16">
        <f t="shared" ca="1" si="31"/>
        <v>0</v>
      </c>
      <c r="CK41" s="16">
        <f t="shared" ca="1" si="32"/>
        <v>0</v>
      </c>
      <c r="CL41" s="16">
        <f t="shared" ca="1" si="50"/>
        <v>0</v>
      </c>
      <c r="CM41" s="16">
        <f ca="1">CG41+COUNTIFS($CH$6:$CH$53,CH41,$CL$6:CL$53,"&gt;"&amp;CL41,$BC$6:$BC$53,INDEX(T_Equipos[Grupo],MATCH(BD41,T_Equipos[NombreEquipo],0)))</f>
        <v>1</v>
      </c>
      <c r="CN41" s="16" t="str">
        <f ca="1">IF(COUNTIFS($CM$6:$CM$53,CM41,$BC$6:$BC$53,INDEX(T_Equipos[Grupo],MATCH(BD41,T_Equipos[NombreEquipo],0)))=1,"-","P."&amp;CM41&amp;" ("&amp;COUNTIFS($CM$6:$CM$53,CM41,$BC$6:$BC$53,INDEX(T_Equipos[Grupo],MATCH(BD41,T_Equipos[NombreEquipo],0)))&amp;")")</f>
        <v>P.1 (4)</v>
      </c>
      <c r="CO41" s="16">
        <f t="shared" ca="1" si="33"/>
        <v>0</v>
      </c>
      <c r="CP41" s="16">
        <f t="shared" ca="1" si="34"/>
        <v>0</v>
      </c>
      <c r="CQ41" s="16">
        <f t="shared" ca="1" si="51"/>
        <v>0</v>
      </c>
      <c r="CR41" s="16">
        <f ca="1">CM41+COUNTIFS($CN$6:$CN$53,CN41,$CQ$6:CQ$53,"&gt;"&amp;CQ41,$BC$6:$BC$53,INDEX(T_Equipos[Grupo],MATCH(BD41,T_Equipos[NombreEquipo],0)))</f>
        <v>1</v>
      </c>
      <c r="CS41" s="16" t="str">
        <f ca="1">IF(COUNTIFS($CR$6:$CR$53,CR41,$BC$6:$BC$53,INDEX(T_Equipos[Grupo],MATCH(BD41,T_Equipos[NombreEquipo],0)))=1,"-","P."&amp;CR41&amp;" ("&amp;COUNTIFS($CR$6:$CR$53,CR41,$BC$6:$BC$53,INDEX(T_Equipos[Grupo],MATCH(BD41,T_Equipos[NombreEquipo],0)))&amp;")")</f>
        <v>P.1 (4)</v>
      </c>
      <c r="CT41" s="16">
        <f t="shared" ca="1" si="35"/>
        <v>0</v>
      </c>
      <c r="CU41" s="16">
        <f ca="1">CR41+COUNTIFS($CS$6:$CS$53,CS41,$CT$6:CT$53,"&gt;"&amp;CT41,$BC$6:$BC$53,INDEX(T_Equipos[Grupo],MATCH(BD41,T_Equipos[NombreEquipo],0)))</f>
        <v>1</v>
      </c>
      <c r="CV41" s="16" t="str">
        <f ca="1">IF(COUNTIFS($CU$6:$CU$53,CU41,$BC$6:$BC$53,INDEX(T_Equipos[Grupo],MATCH(BD41,T_Equipos[NombreEquipo],0)))=1,"-","P."&amp;CU41&amp;" ("&amp;COUNTIFS($CU$6:$CU$53,CU41,$BC$6:$BC$53,INDEX(T_Equipos[Grupo],MATCH(BD41,T_Equipos[NombreEquipo],0)))&amp;")")</f>
        <v>P.1 (4)</v>
      </c>
      <c r="CW41" s="16">
        <f t="shared" ca="1" si="36"/>
        <v>0</v>
      </c>
      <c r="CX41" s="16">
        <f ca="1">CU41+COUNTIFS($CV$6:$CV$53,CV41,$CW$6:CW$53,"&gt;"&amp;CW41,$BC$6:$BC$53,INDEX(T_Equipos[Grupo],MATCH(BD41,T_Equipos[NombreEquipo],0)))</f>
        <v>1</v>
      </c>
      <c r="CY41" s="16" t="str">
        <f ca="1">IF(COUNTIFS($CX$6:$CX$53,CX41,$BC$6:$BC$53,INDEX(T_Equipos[Grupo],MATCH(BD41,T_Equipos[NombreEquipo],0)))=1,"-","P."&amp;CX41&amp;" ("&amp;COUNTIFS($CX$6:$CX$53,CX41,$BC$6:$BC$53,INDEX(T_Equipos[Grupo],MATCH(BD41,T_Equipos[NombreEquipo],0)))&amp;")")</f>
        <v>P.1 (4)</v>
      </c>
      <c r="CZ41" s="16">
        <f t="shared" ca="1" si="37"/>
        <v>0</v>
      </c>
      <c r="DA41" s="16">
        <f ca="1">CX41+COUNTIFS($CY$6:$CY$53,CY41,$CZ$6:CZ$53,"&gt;"&amp;CZ41,$BC$6:$BC$53,INDEX(T_Equipos[Grupo],MATCH(BD41,T_Equipos[NombreEquipo],0)))</f>
        <v>1</v>
      </c>
      <c r="DB41" s="16" t="str">
        <f ca="1">IF(COUNTIFS($DA$6:$DA$53,DA41,$BC$6:$BC$53,INDEX(T_Equipos[Grupo],MATCH(BD41,T_Equipos[NombreEquipo],0)))=1,"-","P."&amp;DA41&amp;" ("&amp;COUNTIFS($DA$6:$DA$53,DA41,$BC$6:$BC$53,INDEX(T_Equipos[Grupo],MATCH(BD41,T_Equipos[NombreEquipo],0)))&amp;")")</f>
        <v>P.1 (4)</v>
      </c>
      <c r="DC41" s="16">
        <f ca="1">IF(DB41="-","-",COUNTIFS(T_Equipos[Rank],"&lt;"&amp;INDEX(T_Equipos[Rank],MATCH(BD41,T_Equipos[NombreEquipo],0)),$BC$6:$BC$53,INDEX(T_Equipos[Grupo],MATCH(BD41,T_Equipos[NombreEquipo],0)))+1)</f>
        <v>4</v>
      </c>
      <c r="DD41" s="16">
        <f ca="1">DA41+COUNTIFS($DB$6:$DB$53,DB41,$DC$6:DC$53,"&lt;"&amp;DC41,$BC$6:$BC$53,INDEX(T_Equipos[Grupo],MATCH(BD41,T_Equipos[NombreEquipo],0)))</f>
        <v>4</v>
      </c>
      <c r="DE41" s="16"/>
      <c r="DF41" s="16">
        <f t="shared" ca="1" si="52"/>
        <v>4</v>
      </c>
      <c r="DG41" s="16">
        <f ca="1">IF(DB41="-","-",COUNTIFS(DF$6:DF$53,"&lt;"&amp;DF41,$BC$6:$BC$53,INDEX(T_Equipos[Grupo],MATCH(BD41,T_Equipos[NombreEquipo],0))))</f>
        <v>3</v>
      </c>
      <c r="DH41" s="16">
        <f ca="1">DA41+COUNTIFS(DB$6:DB$53,DB41,DG$6:DG$53,"&lt;"&amp;DG41,$BC$6:$BC$53,INDEX(T_Equipos[Grupo],MATCH(BD41,T_Equipos[NombreEquipo],0)))</f>
        <v>4</v>
      </c>
      <c r="DI41" s="16"/>
      <c r="DJ41" s="16">
        <f t="shared" ca="1" si="38"/>
        <v>1</v>
      </c>
      <c r="DK41" s="16">
        <f t="shared" ca="1" si="39"/>
        <v>0</v>
      </c>
      <c r="DL41" s="16">
        <f t="shared" ca="1" si="40"/>
        <v>1</v>
      </c>
      <c r="DM41" s="16" t="str">
        <f t="shared" ca="1" si="46"/>
        <v>1.1</v>
      </c>
      <c r="DN41" s="16" cm="1">
        <f t="array" aca="1" ref="DN41" ca="1">OFFSET(Horarios!$P$3,DJ41-1,0,DL41,1)</f>
        <v>1</v>
      </c>
      <c r="DO41" s="16"/>
      <c r="DP41" s="16" t="s">
        <v>686</v>
      </c>
      <c r="DQ41" s="16" t="str">
        <f t="shared" ca="1" si="47"/>
        <v>Norway</v>
      </c>
    </row>
    <row r="42" spans="1:121" ht="16" customHeight="1" thickBot="1" x14ac:dyDescent="0.25">
      <c r="A42" s="16"/>
      <c r="B42" s="16"/>
      <c r="C42" s="16"/>
      <c r="D42" s="16"/>
      <c r="E42" s="16"/>
      <c r="F42" s="16"/>
      <c r="G42" s="16"/>
      <c r="H42" s="16"/>
      <c r="I42" s="16"/>
      <c r="J42" s="16"/>
      <c r="K42" s="16"/>
      <c r="L42" s="16"/>
      <c r="M42" s="16"/>
      <c r="N42" s="16"/>
      <c r="O42" s="16"/>
      <c r="P42" s="16"/>
      <c r="Q42" s="16"/>
      <c r="R42" s="16"/>
      <c r="S42" s="16"/>
      <c r="T42" s="16"/>
      <c r="U42" s="16"/>
      <c r="V42" s="17"/>
      <c r="W42" s="154"/>
      <c r="X42" s="155"/>
      <c r="Y42" s="154"/>
      <c r="Z42" s="156"/>
      <c r="AA42" s="157"/>
      <c r="AB42" s="158"/>
      <c r="AC42" s="151"/>
      <c r="AD42" s="151"/>
      <c r="AE42" s="158"/>
      <c r="AF42" s="159"/>
      <c r="AG42" s="325"/>
      <c r="AH42" s="195"/>
      <c r="AI42" s="180"/>
      <c r="AJ42" s="160"/>
      <c r="AK42" s="161"/>
      <c r="AL42" s="162"/>
      <c r="AM42" s="163"/>
      <c r="AN42" s="160"/>
      <c r="AO42" s="160"/>
      <c r="AP42" s="160"/>
      <c r="AQ42" s="160"/>
      <c r="AR42" s="160"/>
      <c r="AS42" s="160"/>
      <c r="AT42" s="160"/>
      <c r="AU42" s="330"/>
      <c r="AV42" s="189"/>
      <c r="AW42" s="211"/>
      <c r="AX42" s="171"/>
      <c r="AY42" s="154"/>
      <c r="AZ42" s="155"/>
      <c r="BA42" s="176"/>
      <c r="BC42" s="16" t="str">
        <f ca="1">+INDEX(T_Equipos[Grupo],MATCH(WORLDCUP!BD42,T_Equipos[NombreEquipo],0))</f>
        <v>J</v>
      </c>
      <c r="BD42" s="16" t="str">
        <f ca="1">+Equipos!B38</f>
        <v>Argentina</v>
      </c>
      <c r="BE42" s="16">
        <f t="shared" ca="1" si="16"/>
        <v>0</v>
      </c>
      <c r="BF42" s="16">
        <f t="shared" ca="1" si="41"/>
        <v>0</v>
      </c>
      <c r="BG42" s="16">
        <f t="shared" ca="1" si="17"/>
        <v>0</v>
      </c>
      <c r="BH42" s="16">
        <f t="shared" ca="1" si="18"/>
        <v>0</v>
      </c>
      <c r="BI42" s="16">
        <f t="shared" ca="1" si="19"/>
        <v>0</v>
      </c>
      <c r="BJ42" s="16">
        <f t="shared" ca="1" si="20"/>
        <v>0</v>
      </c>
      <c r="BK42" s="16">
        <f t="shared" ca="1" si="21"/>
        <v>0</v>
      </c>
      <c r="BL42" s="16">
        <f t="shared" ca="1" si="42"/>
        <v>0</v>
      </c>
      <c r="BM42" s="16" t="str">
        <f t="shared" ca="1" si="22"/>
        <v>1J</v>
      </c>
      <c r="BN42" s="16" t="str">
        <f t="shared" ca="1" si="23"/>
        <v>1J</v>
      </c>
      <c r="BO42" s="16">
        <f t="shared" ca="1" si="43"/>
        <v>0</v>
      </c>
      <c r="BP42" s="16">
        <f ca="1">COUNTIFS($BO$6:$BO$53,"&gt;"&amp;BO42,$BC$6:$BC$53,INDEX(T_Equipos[Grupo],MATCH(BD42,T_Equipos[NombreEquipo],0)))+1</f>
        <v>1</v>
      </c>
      <c r="BQ42" s="16" t="str">
        <f ca="1">IF(COUNTIFS($BP$6:$BP$53,BP42,$BC$6:$BC$53,INDEX(T_Equipos[Grupo],MATCH(BD42,T_Equipos[NombreEquipo],0)))=1,"-","P."&amp;BP42&amp;" ("&amp;COUNTIFS($BP$6:$BP$53,BP42,$BC$6:$BC$53,INDEX(T_Equipos[Grupo],MATCH(BD42,T_Equipos[NombreEquipo],0)))&amp;")")</f>
        <v>P.1 (4)</v>
      </c>
      <c r="BR42" s="16">
        <f t="shared" ca="1" si="44"/>
        <v>0</v>
      </c>
      <c r="BS42" s="16">
        <f ca="1">BP42+COUNTIFS($BQ$6:$BQ$53,BQ42,$BR$6:BR$53,"&gt;"&amp;BR42,$BC$6:$BC$53,INDEX(T_Equipos[Grupo],MATCH(BD42,T_Equipos[NombreEquipo],0)))</f>
        <v>1</v>
      </c>
      <c r="BT42" s="16" t="str">
        <f ca="1">IF(COUNTIFS($BS$6:$BS$53,BS42,$BC$6:$BC$53,INDEX(T_Equipos[Grupo],MATCH(BD42,T_Equipos[NombreEquipo],0)))=1,"-","P."&amp;BS42&amp;" ("&amp;COUNTIFS($BS$6:$BS$53,BS42,$BC$6:$BC$53,INDEX(T_Equipos[Grupo],MATCH(BD42,T_Equipos[NombreEquipo],0)))&amp;")")</f>
        <v>P.1 (4)</v>
      </c>
      <c r="BU42" s="16">
        <f t="shared" ca="1" si="24"/>
        <v>0</v>
      </c>
      <c r="BV42" s="16">
        <f t="shared" ca="1" si="25"/>
        <v>0</v>
      </c>
      <c r="BW42" s="16">
        <f t="shared" ca="1" si="26"/>
        <v>0</v>
      </c>
      <c r="BX42" s="16">
        <f t="shared" ca="1" si="48"/>
        <v>0</v>
      </c>
      <c r="BY42" s="16">
        <f ca="1">BS42+COUNTIFS($BT$6:$BT$53,BT42,$BX$6:BX$53,"&gt;"&amp;BX42,$BC$6:$BC$53,INDEX(T_Equipos[Grupo],MATCH(BD42,T_Equipos[NombreEquipo],0)))</f>
        <v>1</v>
      </c>
      <c r="BZ42" s="16" t="str">
        <f ca="1">IF(COUNTIFS($BY$6:$BY$53,BY42,$BC$6:$BC$53,INDEX(T_Equipos[Grupo],MATCH(BD42,T_Equipos[NombreEquipo],0)))=1,"-","P."&amp;BY42&amp;" ("&amp;COUNTIFS($BY$6:$BY$53,BY42,$BC$6:$BC$53,INDEX(T_Equipos[Grupo],MATCH(BD42,T_Equipos[NombreEquipo],0)))&amp;")")</f>
        <v>P.1 (4)</v>
      </c>
      <c r="CA42" s="16">
        <f t="shared" ca="1" si="27"/>
        <v>0</v>
      </c>
      <c r="CB42" s="16">
        <f t="shared" ca="1" si="28"/>
        <v>0</v>
      </c>
      <c r="CC42" s="16">
        <f t="shared" ca="1" si="49"/>
        <v>0</v>
      </c>
      <c r="CD42" s="16">
        <f ca="1">BY42+COUNTIFS($BZ$6:$BZ$53,BZ42,$CC$6:CC$53,"&gt;"&amp;CC42,$BC$6:$BC$53,INDEX(T_Equipos[Grupo],MATCH(BD42,T_Equipos[NombreEquipo],0)))</f>
        <v>1</v>
      </c>
      <c r="CE42" s="16" t="str">
        <f ca="1">IF(COUNTIFS($CD$6:$CD$53,CD42,$BC$6:$BC$53,INDEX(T_Equipos[Grupo],MATCH(BD42,T_Equipos[NombreEquipo],0)))=1,"-","P."&amp;CD42&amp;" ("&amp;COUNTIFS($CD$6:$CD$53,CD42,$BC$6:$BC$53,INDEX(T_Equipos[Grupo],MATCH(BD42,T_Equipos[NombreEquipo],0)))&amp;")")</f>
        <v>P.1 (4)</v>
      </c>
      <c r="CF42" s="16">
        <f t="shared" ca="1" si="29"/>
        <v>0</v>
      </c>
      <c r="CG42" s="16">
        <f ca="1">CD42+COUNTIFS($CE$6:$CE$53,CE42,$CF$6:CF$53,"&gt;"&amp;CF42,$BC$6:$BC$53,INDEX(T_Equipos[Grupo],MATCH(BD42,T_Equipos[NombreEquipo],0)))</f>
        <v>1</v>
      </c>
      <c r="CH42" s="16" t="str">
        <f ca="1">IF(COUNTIFS($CG$6:$CG$53,CG42,$BC$6:$BC$53,INDEX(T_Equipos[Grupo],MATCH(BD42,T_Equipos[NombreEquipo],0)))=1,"-","P."&amp;CG42&amp;" ("&amp;COUNTIFS($CG$6:$CG$53,CG42,$BC$6:$BC$53,INDEX(T_Equipos[Grupo],MATCH(BD42,T_Equipos[NombreEquipo],0)))&amp;")")</f>
        <v>P.1 (4)</v>
      </c>
      <c r="CI42" s="16">
        <f t="shared" ca="1" si="30"/>
        <v>0</v>
      </c>
      <c r="CJ42" s="16">
        <f t="shared" ca="1" si="31"/>
        <v>0</v>
      </c>
      <c r="CK42" s="16">
        <f t="shared" ca="1" si="32"/>
        <v>0</v>
      </c>
      <c r="CL42" s="16">
        <f t="shared" ca="1" si="50"/>
        <v>0</v>
      </c>
      <c r="CM42" s="16">
        <f ca="1">CG42+COUNTIFS($CH$6:$CH$53,CH42,$CL$6:CL$53,"&gt;"&amp;CL42,$BC$6:$BC$53,INDEX(T_Equipos[Grupo],MATCH(BD42,T_Equipos[NombreEquipo],0)))</f>
        <v>1</v>
      </c>
      <c r="CN42" s="16" t="str">
        <f ca="1">IF(COUNTIFS($CM$6:$CM$53,CM42,$BC$6:$BC$53,INDEX(T_Equipos[Grupo],MATCH(BD42,T_Equipos[NombreEquipo],0)))=1,"-","P."&amp;CM42&amp;" ("&amp;COUNTIFS($CM$6:$CM$53,CM42,$BC$6:$BC$53,INDEX(T_Equipos[Grupo],MATCH(BD42,T_Equipos[NombreEquipo],0)))&amp;")")</f>
        <v>P.1 (4)</v>
      </c>
      <c r="CO42" s="16">
        <f t="shared" ca="1" si="33"/>
        <v>0</v>
      </c>
      <c r="CP42" s="16">
        <f t="shared" ca="1" si="34"/>
        <v>0</v>
      </c>
      <c r="CQ42" s="16">
        <f t="shared" ca="1" si="51"/>
        <v>0</v>
      </c>
      <c r="CR42" s="16">
        <f ca="1">CM42+COUNTIFS($CN$6:$CN$53,CN42,$CQ$6:CQ$53,"&gt;"&amp;CQ42,$BC$6:$BC$53,INDEX(T_Equipos[Grupo],MATCH(BD42,T_Equipos[NombreEquipo],0)))</f>
        <v>1</v>
      </c>
      <c r="CS42" s="16" t="str">
        <f ca="1">IF(COUNTIFS($CR$6:$CR$53,CR42,$BC$6:$BC$53,INDEX(T_Equipos[Grupo],MATCH(BD42,T_Equipos[NombreEquipo],0)))=1,"-","P."&amp;CR42&amp;" ("&amp;COUNTIFS($CR$6:$CR$53,CR42,$BC$6:$BC$53,INDEX(T_Equipos[Grupo],MATCH(BD42,T_Equipos[NombreEquipo],0)))&amp;")")</f>
        <v>P.1 (4)</v>
      </c>
      <c r="CT42" s="16">
        <f t="shared" ca="1" si="35"/>
        <v>0</v>
      </c>
      <c r="CU42" s="16">
        <f ca="1">CR42+COUNTIFS($CS$6:$CS$53,CS42,$CT$6:CT$53,"&gt;"&amp;CT42,$BC$6:$BC$53,INDEX(T_Equipos[Grupo],MATCH(BD42,T_Equipos[NombreEquipo],0)))</f>
        <v>1</v>
      </c>
      <c r="CV42" s="16" t="str">
        <f ca="1">IF(COUNTIFS($CU$6:$CU$53,CU42,$BC$6:$BC$53,INDEX(T_Equipos[Grupo],MATCH(BD42,T_Equipos[NombreEquipo],0)))=1,"-","P."&amp;CU42&amp;" ("&amp;COUNTIFS($CU$6:$CU$53,CU42,$BC$6:$BC$53,INDEX(T_Equipos[Grupo],MATCH(BD42,T_Equipos[NombreEquipo],0)))&amp;")")</f>
        <v>P.1 (4)</v>
      </c>
      <c r="CW42" s="16">
        <f t="shared" ca="1" si="36"/>
        <v>0</v>
      </c>
      <c r="CX42" s="16">
        <f ca="1">CU42+COUNTIFS($CV$6:$CV$53,CV42,$CW$6:CW$53,"&gt;"&amp;CW42,$BC$6:$BC$53,INDEX(T_Equipos[Grupo],MATCH(BD42,T_Equipos[NombreEquipo],0)))</f>
        <v>1</v>
      </c>
      <c r="CY42" s="16" t="str">
        <f ca="1">IF(COUNTIFS($CX$6:$CX$53,CX42,$BC$6:$BC$53,INDEX(T_Equipos[Grupo],MATCH(BD42,T_Equipos[NombreEquipo],0)))=1,"-","P."&amp;CX42&amp;" ("&amp;COUNTIFS($CX$6:$CX$53,CX42,$BC$6:$BC$53,INDEX(T_Equipos[Grupo],MATCH(BD42,T_Equipos[NombreEquipo],0)))&amp;")")</f>
        <v>P.1 (4)</v>
      </c>
      <c r="CZ42" s="16">
        <f t="shared" ca="1" si="37"/>
        <v>0</v>
      </c>
      <c r="DA42" s="16">
        <f ca="1">CX42+COUNTIFS($CY$6:$CY$53,CY42,$CZ$6:CZ$53,"&gt;"&amp;CZ42,$BC$6:$BC$53,INDEX(T_Equipos[Grupo],MATCH(BD42,T_Equipos[NombreEquipo],0)))</f>
        <v>1</v>
      </c>
      <c r="DB42" s="16" t="str">
        <f ca="1">IF(COUNTIFS($DA$6:$DA$53,DA42,$BC$6:$BC$53,INDEX(T_Equipos[Grupo],MATCH(BD42,T_Equipos[NombreEquipo],0)))=1,"-","P."&amp;DA42&amp;" ("&amp;COUNTIFS($DA$6:$DA$53,DA42,$BC$6:$BC$53,INDEX(T_Equipos[Grupo],MATCH(BD42,T_Equipos[NombreEquipo],0)))&amp;")")</f>
        <v>P.1 (4)</v>
      </c>
      <c r="DC42" s="16">
        <f ca="1">IF(DB42="-","-",COUNTIFS(T_Equipos[Rank],"&lt;"&amp;INDEX(T_Equipos[Rank],MATCH(BD42,T_Equipos[NombreEquipo],0)),$BC$6:$BC$53,INDEX(T_Equipos[Grupo],MATCH(BD42,T_Equipos[NombreEquipo],0)))+1)</f>
        <v>1</v>
      </c>
      <c r="DD42" s="16">
        <f ca="1">DA42+COUNTIFS($DB$6:$DB$53,DB42,$DC$6:DC$53,"&lt;"&amp;DC42,$BC$6:$BC$53,INDEX(T_Equipos[Grupo],MATCH(BD42,T_Equipos[NombreEquipo],0)))</f>
        <v>1</v>
      </c>
      <c r="DE42" s="16"/>
      <c r="DF42" s="16">
        <f t="shared" ca="1" si="52"/>
        <v>1</v>
      </c>
      <c r="DG42" s="16">
        <f ca="1">IF(DB42="-","-",COUNTIFS(DF$6:DF$53,"&lt;"&amp;DF42,$BC$6:$BC$53,INDEX(T_Equipos[Grupo],MATCH(BD42,T_Equipos[NombreEquipo],0))))</f>
        <v>0</v>
      </c>
      <c r="DH42" s="16">
        <f ca="1">DA42+COUNTIFS(DB$6:DB$53,DB42,DG$6:DG$53,"&lt;"&amp;DG42,$BC$6:$BC$53,INDEX(T_Equipos[Grupo],MATCH(BD42,T_Equipos[NombreEquipo],0)))</f>
        <v>1</v>
      </c>
      <c r="DI42" s="16"/>
      <c r="DJ42" s="16">
        <f t="shared" ca="1" si="38"/>
        <v>1</v>
      </c>
      <c r="DK42" s="16">
        <f t="shared" ca="1" si="39"/>
        <v>0</v>
      </c>
      <c r="DL42" s="16">
        <f t="shared" ca="1" si="40"/>
        <v>1</v>
      </c>
      <c r="DM42" s="16" t="str">
        <f t="shared" ca="1" si="46"/>
        <v>1.1</v>
      </c>
      <c r="DN42" s="16" cm="1">
        <f t="array" aca="1" ref="DN42" ca="1">OFFSET(Horarios!$P$3,DJ42-1,0,DL42,1)</f>
        <v>1</v>
      </c>
      <c r="DO42" s="16"/>
      <c r="DP42" s="16" t="s">
        <v>687</v>
      </c>
      <c r="DQ42" s="16" t="str">
        <f t="shared" ca="1" si="47"/>
        <v>Argentina</v>
      </c>
    </row>
    <row r="43" spans="1:121" ht="16" customHeight="1" thickBot="1" x14ac:dyDescent="0.25">
      <c r="A43" s="16"/>
      <c r="B43" s="16"/>
      <c r="C43" s="16"/>
      <c r="D43" s="16"/>
      <c r="E43" s="16"/>
      <c r="F43" s="16"/>
      <c r="G43" s="16"/>
      <c r="H43" s="16"/>
      <c r="I43" s="16"/>
      <c r="J43" s="16"/>
      <c r="K43" s="16"/>
      <c r="L43" s="16"/>
      <c r="M43" s="16"/>
      <c r="N43" s="16"/>
      <c r="O43" s="16"/>
      <c r="P43" s="16"/>
      <c r="Q43" s="16"/>
      <c r="R43" s="16"/>
      <c r="S43" s="16"/>
      <c r="T43" s="16"/>
      <c r="U43" s="16"/>
      <c r="V43" s="17"/>
      <c r="W43" s="8"/>
      <c r="X43" s="69" t="str">
        <f>X27</f>
        <v>Date</v>
      </c>
      <c r="Y43" s="69" t="str">
        <f>Y27</f>
        <v>Hour</v>
      </c>
      <c r="Z43" s="55" t="str">
        <f t="shared" ref="Z43:AA43" si="129">Z27</f>
        <v>R</v>
      </c>
      <c r="AA43" s="57" t="str">
        <f t="shared" si="129"/>
        <v>Home</v>
      </c>
      <c r="AB43" s="56"/>
      <c r="AC43" s="55" t="str">
        <f>AC3</f>
        <v>Goal</v>
      </c>
      <c r="AD43" s="55" t="str">
        <f>AD3</f>
        <v>Goal</v>
      </c>
      <c r="AE43" s="56"/>
      <c r="AF43" s="58" t="str">
        <f t="shared" ref="AF43" si="130">AF27</f>
        <v>Away</v>
      </c>
      <c r="AG43" s="324"/>
      <c r="AH43" s="195"/>
      <c r="AI43" s="179"/>
      <c r="AJ43" s="162"/>
      <c r="AK43" s="600"/>
      <c r="AL43" s="162"/>
      <c r="AM43" s="162"/>
      <c r="AN43" s="162"/>
      <c r="AO43" s="162"/>
      <c r="AP43" s="162"/>
      <c r="AQ43" s="162"/>
      <c r="AR43" s="162"/>
      <c r="AS43" s="162"/>
      <c r="AT43" s="162"/>
      <c r="AU43" s="331"/>
      <c r="AV43" s="188"/>
      <c r="AW43" s="212"/>
      <c r="AX43" s="172"/>
      <c r="AY43" s="154"/>
      <c r="AZ43" s="155"/>
      <c r="BA43" s="176"/>
      <c r="BC43" s="16" t="str">
        <f ca="1">+INDEX(T_Equipos[Grupo],MATCH(WORLDCUP!BD43,T_Equipos[NombreEquipo],0))</f>
        <v>J</v>
      </c>
      <c r="BD43" s="16" t="str">
        <f ca="1">+Equipos!B39</f>
        <v>Algeria</v>
      </c>
      <c r="BE43" s="16">
        <f t="shared" ca="1" si="16"/>
        <v>0</v>
      </c>
      <c r="BF43" s="16">
        <f t="shared" ca="1" si="41"/>
        <v>0</v>
      </c>
      <c r="BG43" s="16">
        <f t="shared" ca="1" si="17"/>
        <v>0</v>
      </c>
      <c r="BH43" s="16">
        <f t="shared" ca="1" si="18"/>
        <v>0</v>
      </c>
      <c r="BI43" s="16">
        <f t="shared" ca="1" si="19"/>
        <v>0</v>
      </c>
      <c r="BJ43" s="16">
        <f t="shared" ca="1" si="20"/>
        <v>0</v>
      </c>
      <c r="BK43" s="16">
        <f t="shared" ca="1" si="21"/>
        <v>0</v>
      </c>
      <c r="BL43" s="16">
        <f t="shared" ca="1" si="42"/>
        <v>0</v>
      </c>
      <c r="BM43" s="16" t="str">
        <f t="shared" ca="1" si="22"/>
        <v>2J</v>
      </c>
      <c r="BN43" s="16" t="str">
        <f t="shared" ca="1" si="23"/>
        <v>2J</v>
      </c>
      <c r="BO43" s="16">
        <f t="shared" ca="1" si="43"/>
        <v>0</v>
      </c>
      <c r="BP43" s="16">
        <f ca="1">COUNTIFS($BO$6:$BO$53,"&gt;"&amp;BO43,$BC$6:$BC$53,INDEX(T_Equipos[Grupo],MATCH(BD43,T_Equipos[NombreEquipo],0)))+1</f>
        <v>1</v>
      </c>
      <c r="BQ43" s="16" t="str">
        <f ca="1">IF(COUNTIFS($BP$6:$BP$53,BP43,$BC$6:$BC$53,INDEX(T_Equipos[Grupo],MATCH(BD43,T_Equipos[NombreEquipo],0)))=1,"-","P."&amp;BP43&amp;" ("&amp;COUNTIFS($BP$6:$BP$53,BP43,$BC$6:$BC$53,INDEX(T_Equipos[Grupo],MATCH(BD43,T_Equipos[NombreEquipo],0)))&amp;")")</f>
        <v>P.1 (4)</v>
      </c>
      <c r="BR43" s="16">
        <f t="shared" ca="1" si="44"/>
        <v>0</v>
      </c>
      <c r="BS43" s="16">
        <f ca="1">BP43+COUNTIFS($BQ$6:$BQ$53,BQ43,$BR$6:BR$53,"&gt;"&amp;BR43,$BC$6:$BC$53,INDEX(T_Equipos[Grupo],MATCH(BD43,T_Equipos[NombreEquipo],0)))</f>
        <v>1</v>
      </c>
      <c r="BT43" s="16" t="str">
        <f ca="1">IF(COUNTIFS($BS$6:$BS$53,BS43,$BC$6:$BC$53,INDEX(T_Equipos[Grupo],MATCH(BD43,T_Equipos[NombreEquipo],0)))=1,"-","P."&amp;BS43&amp;" ("&amp;COUNTIFS($BS$6:$BS$53,BS43,$BC$6:$BC$53,INDEX(T_Equipos[Grupo],MATCH(BD43,T_Equipos[NombreEquipo],0)))&amp;")")</f>
        <v>P.1 (4)</v>
      </c>
      <c r="BU43" s="16">
        <f t="shared" ca="1" si="24"/>
        <v>0</v>
      </c>
      <c r="BV43" s="16">
        <f t="shared" ca="1" si="25"/>
        <v>0</v>
      </c>
      <c r="BW43" s="16">
        <f t="shared" ca="1" si="26"/>
        <v>0</v>
      </c>
      <c r="BX43" s="16">
        <f t="shared" ca="1" si="48"/>
        <v>0</v>
      </c>
      <c r="BY43" s="16">
        <f ca="1">BS43+COUNTIFS($BT$6:$BT$53,BT43,$BX$6:BX$53,"&gt;"&amp;BX43,$BC$6:$BC$53,INDEX(T_Equipos[Grupo],MATCH(BD43,T_Equipos[NombreEquipo],0)))</f>
        <v>1</v>
      </c>
      <c r="BZ43" s="16" t="str">
        <f ca="1">IF(COUNTIFS($BY$6:$BY$53,BY43,$BC$6:$BC$53,INDEX(T_Equipos[Grupo],MATCH(BD43,T_Equipos[NombreEquipo],0)))=1,"-","P."&amp;BY43&amp;" ("&amp;COUNTIFS($BY$6:$BY$53,BY43,$BC$6:$BC$53,INDEX(T_Equipos[Grupo],MATCH(BD43,T_Equipos[NombreEquipo],0)))&amp;")")</f>
        <v>P.1 (4)</v>
      </c>
      <c r="CA43" s="16">
        <f t="shared" ca="1" si="27"/>
        <v>0</v>
      </c>
      <c r="CB43" s="16">
        <f t="shared" ca="1" si="28"/>
        <v>0</v>
      </c>
      <c r="CC43" s="16">
        <f t="shared" ca="1" si="49"/>
        <v>0</v>
      </c>
      <c r="CD43" s="16">
        <f ca="1">BY43+COUNTIFS($BZ$6:$BZ$53,BZ43,$CC$6:CC$53,"&gt;"&amp;CC43,$BC$6:$BC$53,INDEX(T_Equipos[Grupo],MATCH(BD43,T_Equipos[NombreEquipo],0)))</f>
        <v>1</v>
      </c>
      <c r="CE43" s="16" t="str">
        <f ca="1">IF(COUNTIFS($CD$6:$CD$53,CD43,$BC$6:$BC$53,INDEX(T_Equipos[Grupo],MATCH(BD43,T_Equipos[NombreEquipo],0)))=1,"-","P."&amp;CD43&amp;" ("&amp;COUNTIFS($CD$6:$CD$53,CD43,$BC$6:$BC$53,INDEX(T_Equipos[Grupo],MATCH(BD43,T_Equipos[NombreEquipo],0)))&amp;")")</f>
        <v>P.1 (4)</v>
      </c>
      <c r="CF43" s="16">
        <f t="shared" ca="1" si="29"/>
        <v>0</v>
      </c>
      <c r="CG43" s="16">
        <f ca="1">CD43+COUNTIFS($CE$6:$CE$53,CE43,$CF$6:CF$53,"&gt;"&amp;CF43,$BC$6:$BC$53,INDEX(T_Equipos[Grupo],MATCH(BD43,T_Equipos[NombreEquipo],0)))</f>
        <v>1</v>
      </c>
      <c r="CH43" s="16" t="str">
        <f ca="1">IF(COUNTIFS($CG$6:$CG$53,CG43,$BC$6:$BC$53,INDEX(T_Equipos[Grupo],MATCH(BD43,T_Equipos[NombreEquipo],0)))=1,"-","P."&amp;CG43&amp;" ("&amp;COUNTIFS($CG$6:$CG$53,CG43,$BC$6:$BC$53,INDEX(T_Equipos[Grupo],MATCH(BD43,T_Equipos[NombreEquipo],0)))&amp;")")</f>
        <v>P.1 (4)</v>
      </c>
      <c r="CI43" s="16">
        <f t="shared" ca="1" si="30"/>
        <v>0</v>
      </c>
      <c r="CJ43" s="16">
        <f t="shared" ca="1" si="31"/>
        <v>0</v>
      </c>
      <c r="CK43" s="16">
        <f t="shared" ca="1" si="32"/>
        <v>0</v>
      </c>
      <c r="CL43" s="16">
        <f t="shared" ca="1" si="50"/>
        <v>0</v>
      </c>
      <c r="CM43" s="16">
        <f ca="1">CG43+COUNTIFS($CH$6:$CH$53,CH43,$CL$6:CL$53,"&gt;"&amp;CL43,$BC$6:$BC$53,INDEX(T_Equipos[Grupo],MATCH(BD43,T_Equipos[NombreEquipo],0)))</f>
        <v>1</v>
      </c>
      <c r="CN43" s="16" t="str">
        <f ca="1">IF(COUNTIFS($CM$6:$CM$53,CM43,$BC$6:$BC$53,INDEX(T_Equipos[Grupo],MATCH(BD43,T_Equipos[NombreEquipo],0)))=1,"-","P."&amp;CM43&amp;" ("&amp;COUNTIFS($CM$6:$CM$53,CM43,$BC$6:$BC$53,INDEX(T_Equipos[Grupo],MATCH(BD43,T_Equipos[NombreEquipo],0)))&amp;")")</f>
        <v>P.1 (4)</v>
      </c>
      <c r="CO43" s="16">
        <f t="shared" ca="1" si="33"/>
        <v>0</v>
      </c>
      <c r="CP43" s="16">
        <f t="shared" ca="1" si="34"/>
        <v>0</v>
      </c>
      <c r="CQ43" s="16">
        <f t="shared" ca="1" si="51"/>
        <v>0</v>
      </c>
      <c r="CR43" s="16">
        <f ca="1">CM43+COUNTIFS($CN$6:$CN$53,CN43,$CQ$6:CQ$53,"&gt;"&amp;CQ43,$BC$6:$BC$53,INDEX(T_Equipos[Grupo],MATCH(BD43,T_Equipos[NombreEquipo],0)))</f>
        <v>1</v>
      </c>
      <c r="CS43" s="16" t="str">
        <f ca="1">IF(COUNTIFS($CR$6:$CR$53,CR43,$BC$6:$BC$53,INDEX(T_Equipos[Grupo],MATCH(BD43,T_Equipos[NombreEquipo],0)))=1,"-","P."&amp;CR43&amp;" ("&amp;COUNTIFS($CR$6:$CR$53,CR43,$BC$6:$BC$53,INDEX(T_Equipos[Grupo],MATCH(BD43,T_Equipos[NombreEquipo],0)))&amp;")")</f>
        <v>P.1 (4)</v>
      </c>
      <c r="CT43" s="16">
        <f t="shared" ca="1" si="35"/>
        <v>0</v>
      </c>
      <c r="CU43" s="16">
        <f ca="1">CR43+COUNTIFS($CS$6:$CS$53,CS43,$CT$6:CT$53,"&gt;"&amp;CT43,$BC$6:$BC$53,INDEX(T_Equipos[Grupo],MATCH(BD43,T_Equipos[NombreEquipo],0)))</f>
        <v>1</v>
      </c>
      <c r="CV43" s="16" t="str">
        <f ca="1">IF(COUNTIFS($CU$6:$CU$53,CU43,$BC$6:$BC$53,INDEX(T_Equipos[Grupo],MATCH(BD43,T_Equipos[NombreEquipo],0)))=1,"-","P."&amp;CU43&amp;" ("&amp;COUNTIFS($CU$6:$CU$53,CU43,$BC$6:$BC$53,INDEX(T_Equipos[Grupo],MATCH(BD43,T_Equipos[NombreEquipo],0)))&amp;")")</f>
        <v>P.1 (4)</v>
      </c>
      <c r="CW43" s="16">
        <f t="shared" ca="1" si="36"/>
        <v>0</v>
      </c>
      <c r="CX43" s="16">
        <f ca="1">CU43+COUNTIFS($CV$6:$CV$53,CV43,$CW$6:CW$53,"&gt;"&amp;CW43,$BC$6:$BC$53,INDEX(T_Equipos[Grupo],MATCH(BD43,T_Equipos[NombreEquipo],0)))</f>
        <v>1</v>
      </c>
      <c r="CY43" s="16" t="str">
        <f ca="1">IF(COUNTIFS($CX$6:$CX$53,CX43,$BC$6:$BC$53,INDEX(T_Equipos[Grupo],MATCH(BD43,T_Equipos[NombreEquipo],0)))=1,"-","P."&amp;CX43&amp;" ("&amp;COUNTIFS($CX$6:$CX$53,CX43,$BC$6:$BC$53,INDEX(T_Equipos[Grupo],MATCH(BD43,T_Equipos[NombreEquipo],0)))&amp;")")</f>
        <v>P.1 (4)</v>
      </c>
      <c r="CZ43" s="16">
        <f t="shared" ca="1" si="37"/>
        <v>0</v>
      </c>
      <c r="DA43" s="16">
        <f ca="1">CX43+COUNTIFS($CY$6:$CY$53,CY43,$CZ$6:CZ$53,"&gt;"&amp;CZ43,$BC$6:$BC$53,INDEX(T_Equipos[Grupo],MATCH(BD43,T_Equipos[NombreEquipo],0)))</f>
        <v>1</v>
      </c>
      <c r="DB43" s="16" t="str">
        <f ca="1">IF(COUNTIFS($DA$6:$DA$53,DA43,$BC$6:$BC$53,INDEX(T_Equipos[Grupo],MATCH(BD43,T_Equipos[NombreEquipo],0)))=1,"-","P."&amp;DA43&amp;" ("&amp;COUNTIFS($DA$6:$DA$53,DA43,$BC$6:$BC$53,INDEX(T_Equipos[Grupo],MATCH(BD43,T_Equipos[NombreEquipo],0)))&amp;")")</f>
        <v>P.1 (4)</v>
      </c>
      <c r="DC43" s="16">
        <f ca="1">IF(DB43="-","-",COUNTIFS(T_Equipos[Rank],"&lt;"&amp;INDEX(T_Equipos[Rank],MATCH(BD43,T_Equipos[NombreEquipo],0)),$BC$6:$BC$53,INDEX(T_Equipos[Grupo],MATCH(BD43,T_Equipos[NombreEquipo],0)))+1)</f>
        <v>2</v>
      </c>
      <c r="DD43" s="16">
        <f ca="1">DA43+COUNTIFS($DB$6:$DB$53,DB43,$DC$6:DC$53,"&lt;"&amp;DC43,$BC$6:$BC$53,INDEX(T_Equipos[Grupo],MATCH(BD43,T_Equipos[NombreEquipo],0)))</f>
        <v>2</v>
      </c>
      <c r="DE43" s="16"/>
      <c r="DF43" s="16">
        <f t="shared" ca="1" si="52"/>
        <v>2</v>
      </c>
      <c r="DG43" s="16">
        <f ca="1">IF(DB43="-","-",COUNTIFS(DF$6:DF$53,"&lt;"&amp;DF43,$BC$6:$BC$53,INDEX(T_Equipos[Grupo],MATCH(BD43,T_Equipos[NombreEquipo],0))))</f>
        <v>1</v>
      </c>
      <c r="DH43" s="16">
        <f ca="1">DA43+COUNTIFS(DB$6:DB$53,DB43,DG$6:DG$53,"&lt;"&amp;DG43,$BC$6:$BC$53,INDEX(T_Equipos[Grupo],MATCH(BD43,T_Equipos[NombreEquipo],0)))</f>
        <v>2</v>
      </c>
      <c r="DI43" s="16"/>
      <c r="DJ43" s="16">
        <f t="shared" ca="1" si="38"/>
        <v>1</v>
      </c>
      <c r="DK43" s="16">
        <f t="shared" ca="1" si="39"/>
        <v>0</v>
      </c>
      <c r="DL43" s="16">
        <f t="shared" ca="1" si="40"/>
        <v>1</v>
      </c>
      <c r="DM43" s="16" t="str">
        <f t="shared" ca="1" si="46"/>
        <v>1.1</v>
      </c>
      <c r="DN43" s="16" cm="1">
        <f t="array" aca="1" ref="DN43" ca="1">OFFSET(Horarios!$P$3,DJ43-1,0,DL43,1)</f>
        <v>1</v>
      </c>
      <c r="DO43" s="16"/>
      <c r="DP43" s="16" t="s">
        <v>688</v>
      </c>
      <c r="DQ43" s="16" t="str">
        <f t="shared" ca="1" si="47"/>
        <v>Algeria</v>
      </c>
    </row>
    <row r="44" spans="1:121" ht="16" customHeight="1" thickBot="1" x14ac:dyDescent="0.25">
      <c r="A44" s="16" t="s">
        <v>32</v>
      </c>
      <c r="B44" s="16" t="s">
        <v>4</v>
      </c>
      <c r="C44" s="16">
        <f>COUNTIF(Equipos!$C$2:$C$49,WORLDCUP!B44)</f>
        <v>4</v>
      </c>
      <c r="D44" s="16" t="str">
        <f t="shared" ref="D44:D49" si="131">IF(OR(AC44="",AD44=""),"Pendiente",IF(AC44&gt;AD44,"Local",IF(AC44&lt;AD44,"Visitante","Empate")))</f>
        <v>Pendiente</v>
      </c>
      <c r="E44" s="16" t="str">
        <f t="shared" ref="E44:E49" si="132">IF(D44="Pendiente","-",INDEX($BT$6:$BT$53,MATCH($AA44,$BD$6:$BD$53,0)))</f>
        <v>-</v>
      </c>
      <c r="F44" s="16" t="str">
        <f t="shared" ref="F44:F49" si="133">IF(D44="Pendiente","-",INDEX($BT$6:$BT$53,MATCH($AF44,$BD$6:$BD$53,0)))</f>
        <v>-</v>
      </c>
      <c r="G44" s="16"/>
      <c r="H44" s="16" t="str">
        <f t="shared" ref="H44:H49" si="134">IF(D44="Pendiente","-",INDEX($BZ$6:$BZ$53,MATCH($AA44,$BD$6:$BD$53,0)))</f>
        <v>-</v>
      </c>
      <c r="I44" s="16" t="str">
        <f t="shared" ref="I44:I49" si="135">IF(D44="Pendiente","-",INDEX($BZ$6:$BZ$53,MATCH($AF44,$BD$6:$BD$53,0)))</f>
        <v>-</v>
      </c>
      <c r="J44" s="16"/>
      <c r="K44" s="16" t="str">
        <f t="shared" ref="K44:K49" si="136">IF(D44="Pendiente","-",INDEX($CE$6:$CE$53,MATCH($AA44,$BD$6:$BD$53,0)))</f>
        <v>-</v>
      </c>
      <c r="L44" s="16" t="str">
        <f t="shared" ref="L44:L49" si="137">IF(D44="Pendiente","-",INDEX($CE$6:$CE$53,MATCH($AF44,$BD$6:$BD$53,0)))</f>
        <v>-</v>
      </c>
      <c r="M44" s="16"/>
      <c r="N44" s="16" t="str">
        <f t="shared" ref="N44:N49" si="138">IF(D44="Pendiente","-",INDEX($CH$6:$CH$53,MATCH($AA44,$BD$6:$BD$53,0)))</f>
        <v>-</v>
      </c>
      <c r="O44" s="16" t="str">
        <f t="shared" ref="O44:O49" si="139">IF(D44="Pendiente","-",INDEX($CH$6:$CH$53,MATCH($AF44,$BD$6:$BD$53,0)))</f>
        <v>-</v>
      </c>
      <c r="P44" s="16"/>
      <c r="Q44" s="16" t="str">
        <f t="shared" ref="Q44:Q49" si="140">IF(D44="Pendiente","-",INDEX($CN$6:$CN$53,MATCH($AA44,$BD$6:$BD$53,0)))</f>
        <v>-</v>
      </c>
      <c r="R44" s="16" t="str">
        <f t="shared" ref="R44:R49" si="141">IF(D44="Pendiente","-",INDEX($CN$6:$CN$53,MATCH($AF44,$BD$6:$BD$53,0)))</f>
        <v>-</v>
      </c>
      <c r="S44" s="16"/>
      <c r="T44" s="16" t="str">
        <f t="shared" ref="T44:T49" si="142">IF(D44="Pendiente","-",INDEX($CS$6:$CS$53,MATCH($AA44,$BD$6:$BD$53,0)))</f>
        <v>-</v>
      </c>
      <c r="U44" s="16" t="str">
        <f t="shared" ref="U44:U49" si="143">IF(D44="Pendiente","-",INDEX($CS$6:$CS$53,MATCH($AF44,$BD$6:$BD$53,0)))</f>
        <v>-</v>
      </c>
      <c r="V44" s="17"/>
      <c r="W44" s="663" t="s">
        <v>4</v>
      </c>
      <c r="X44" s="24">
        <f ca="1">Horarios!C44</f>
        <v>46187.666666666664</v>
      </c>
      <c r="Y44" s="25">
        <f ca="1">Horarios!C44</f>
        <v>46187.666666666664</v>
      </c>
      <c r="Z44" s="26" t="str">
        <f>$Z$4</f>
        <v>R1</v>
      </c>
      <c r="AA44" s="27" t="str">
        <f ca="1">A45</f>
        <v>Netherlands</v>
      </c>
      <c r="AB44" s="49" t="str" cm="1">
        <f t="array" aca="1" ref="AB44" ca="1">Ver_flag_local</f>
        <v>🇳🇱</v>
      </c>
      <c r="AC44" s="50"/>
      <c r="AD44" s="51"/>
      <c r="AE44" s="595" t="str" cm="1">
        <f t="array" aca="1" ref="AE44" ca="1">Ver_flag_visit</f>
        <v>🇯🇵</v>
      </c>
      <c r="AF44" s="32" t="str">
        <f ca="1">A46</f>
        <v>Japan</v>
      </c>
      <c r="AG44" s="323">
        <f t="shared" ref="AG44:AG49" si="144">IF(NOT(OR(ISBLANK(AC44),ISBLANK(AD44))),1,0)</f>
        <v>0</v>
      </c>
      <c r="AH44" s="195">
        <v>11</v>
      </c>
      <c r="AI44" s="181"/>
      <c r="AJ44" s="59" t="str">
        <f>CONCATENATE(AJ3," ",B44)</f>
        <v>Group F</v>
      </c>
      <c r="AK44" s="60"/>
      <c r="AL44" s="60"/>
      <c r="AM44" s="60"/>
      <c r="AN44" s="60"/>
      <c r="AO44" s="60"/>
      <c r="AP44" s="60"/>
      <c r="AQ44" s="60"/>
      <c r="AR44" s="60"/>
      <c r="AS44" s="60"/>
      <c r="AT44" s="61"/>
      <c r="AU44" s="331"/>
      <c r="AV44" s="286" t="str">
        <f ca="1">IF(AU45&gt;0,$AV$3,"")</f>
        <v/>
      </c>
      <c r="AW44" s="167"/>
      <c r="AX44" s="167"/>
      <c r="AY44" s="154"/>
      <c r="AZ44" s="155"/>
      <c r="BA44" s="176"/>
      <c r="BC44" s="16" t="str">
        <f ca="1">+INDEX(T_Equipos[Grupo],MATCH(WORLDCUP!BD44,T_Equipos[NombreEquipo],0))</f>
        <v>J</v>
      </c>
      <c r="BD44" s="16" t="str">
        <f ca="1">+Equipos!B40</f>
        <v>Austria</v>
      </c>
      <c r="BE44" s="16">
        <f t="shared" ca="1" si="16"/>
        <v>0</v>
      </c>
      <c r="BF44" s="16">
        <f t="shared" ca="1" si="41"/>
        <v>0</v>
      </c>
      <c r="BG44" s="16">
        <f t="shared" ca="1" si="17"/>
        <v>0</v>
      </c>
      <c r="BH44" s="16">
        <f t="shared" ca="1" si="18"/>
        <v>0</v>
      </c>
      <c r="BI44" s="16">
        <f t="shared" ca="1" si="19"/>
        <v>0</v>
      </c>
      <c r="BJ44" s="16">
        <f t="shared" ca="1" si="20"/>
        <v>0</v>
      </c>
      <c r="BK44" s="16">
        <f t="shared" ca="1" si="21"/>
        <v>0</v>
      </c>
      <c r="BL44" s="16">
        <f t="shared" ca="1" si="42"/>
        <v>0</v>
      </c>
      <c r="BM44" s="16" t="str">
        <f t="shared" ca="1" si="22"/>
        <v>3J</v>
      </c>
      <c r="BN44" s="16" t="str">
        <f t="shared" ca="1" si="23"/>
        <v>3J</v>
      </c>
      <c r="BO44" s="16">
        <f t="shared" ca="1" si="43"/>
        <v>0</v>
      </c>
      <c r="BP44" s="16">
        <f ca="1">COUNTIFS($BO$6:$BO$53,"&gt;"&amp;BO44,$BC$6:$BC$53,INDEX(T_Equipos[Grupo],MATCH(BD44,T_Equipos[NombreEquipo],0)))+1</f>
        <v>1</v>
      </c>
      <c r="BQ44" s="16" t="str">
        <f ca="1">IF(COUNTIFS($BP$6:$BP$53,BP44,$BC$6:$BC$53,INDEX(T_Equipos[Grupo],MATCH(BD44,T_Equipos[NombreEquipo],0)))=1,"-","P."&amp;BP44&amp;" ("&amp;COUNTIFS($BP$6:$BP$53,BP44,$BC$6:$BC$53,INDEX(T_Equipos[Grupo],MATCH(BD44,T_Equipos[NombreEquipo],0)))&amp;")")</f>
        <v>P.1 (4)</v>
      </c>
      <c r="BR44" s="16">
        <f t="shared" ca="1" si="44"/>
        <v>0</v>
      </c>
      <c r="BS44" s="16">
        <f ca="1">BP44+COUNTIFS($BQ$6:$BQ$53,BQ44,$BR$6:BR$53,"&gt;"&amp;BR44,$BC$6:$BC$53,INDEX(T_Equipos[Grupo],MATCH(BD44,T_Equipos[NombreEquipo],0)))</f>
        <v>1</v>
      </c>
      <c r="BT44" s="16" t="str">
        <f ca="1">IF(COUNTIFS($BS$6:$BS$53,BS44,$BC$6:$BC$53,INDEX(T_Equipos[Grupo],MATCH(BD44,T_Equipos[NombreEquipo],0)))=1,"-","P."&amp;BS44&amp;" ("&amp;COUNTIFS($BS$6:$BS$53,BS44,$BC$6:$BC$53,INDEX(T_Equipos[Grupo],MATCH(BD44,T_Equipos[NombreEquipo],0)))&amp;")")</f>
        <v>P.1 (4)</v>
      </c>
      <c r="BU44" s="16">
        <f t="shared" ca="1" si="24"/>
        <v>0</v>
      </c>
      <c r="BV44" s="16">
        <f t="shared" ca="1" si="25"/>
        <v>0</v>
      </c>
      <c r="BW44" s="16">
        <f t="shared" ca="1" si="26"/>
        <v>0</v>
      </c>
      <c r="BX44" s="16">
        <f t="shared" ca="1" si="48"/>
        <v>0</v>
      </c>
      <c r="BY44" s="16">
        <f ca="1">BS44+COUNTIFS($BT$6:$BT$53,BT44,$BX$6:BX$53,"&gt;"&amp;BX44,$BC$6:$BC$53,INDEX(T_Equipos[Grupo],MATCH(BD44,T_Equipos[NombreEquipo],0)))</f>
        <v>1</v>
      </c>
      <c r="BZ44" s="16" t="str">
        <f ca="1">IF(COUNTIFS($BY$6:$BY$53,BY44,$BC$6:$BC$53,INDEX(T_Equipos[Grupo],MATCH(BD44,T_Equipos[NombreEquipo],0)))=1,"-","P."&amp;BY44&amp;" ("&amp;COUNTIFS($BY$6:$BY$53,BY44,$BC$6:$BC$53,INDEX(T_Equipos[Grupo],MATCH(BD44,T_Equipos[NombreEquipo],0)))&amp;")")</f>
        <v>P.1 (4)</v>
      </c>
      <c r="CA44" s="16">
        <f t="shared" ca="1" si="27"/>
        <v>0</v>
      </c>
      <c r="CB44" s="16">
        <f t="shared" ca="1" si="28"/>
        <v>0</v>
      </c>
      <c r="CC44" s="16">
        <f t="shared" ca="1" si="49"/>
        <v>0</v>
      </c>
      <c r="CD44" s="16">
        <f ca="1">BY44+COUNTIFS($BZ$6:$BZ$53,BZ44,$CC$6:CC$53,"&gt;"&amp;CC44,$BC$6:$BC$53,INDEX(T_Equipos[Grupo],MATCH(BD44,T_Equipos[NombreEquipo],0)))</f>
        <v>1</v>
      </c>
      <c r="CE44" s="16" t="str">
        <f ca="1">IF(COUNTIFS($CD$6:$CD$53,CD44,$BC$6:$BC$53,INDEX(T_Equipos[Grupo],MATCH(BD44,T_Equipos[NombreEquipo],0)))=1,"-","P."&amp;CD44&amp;" ("&amp;COUNTIFS($CD$6:$CD$53,CD44,$BC$6:$BC$53,INDEX(T_Equipos[Grupo],MATCH(BD44,T_Equipos[NombreEquipo],0)))&amp;")")</f>
        <v>P.1 (4)</v>
      </c>
      <c r="CF44" s="16">
        <f t="shared" ca="1" si="29"/>
        <v>0</v>
      </c>
      <c r="CG44" s="16">
        <f ca="1">CD44+COUNTIFS($CE$6:$CE$53,CE44,$CF$6:CF$53,"&gt;"&amp;CF44,$BC$6:$BC$53,INDEX(T_Equipos[Grupo],MATCH(BD44,T_Equipos[NombreEquipo],0)))</f>
        <v>1</v>
      </c>
      <c r="CH44" s="16" t="str">
        <f ca="1">IF(COUNTIFS($CG$6:$CG$53,CG44,$BC$6:$BC$53,INDEX(T_Equipos[Grupo],MATCH(BD44,T_Equipos[NombreEquipo],0)))=1,"-","P."&amp;CG44&amp;" ("&amp;COUNTIFS($CG$6:$CG$53,CG44,$BC$6:$BC$53,INDEX(T_Equipos[Grupo],MATCH(BD44,T_Equipos[NombreEquipo],0)))&amp;")")</f>
        <v>P.1 (4)</v>
      </c>
      <c r="CI44" s="16">
        <f t="shared" ca="1" si="30"/>
        <v>0</v>
      </c>
      <c r="CJ44" s="16">
        <f t="shared" ca="1" si="31"/>
        <v>0</v>
      </c>
      <c r="CK44" s="16">
        <f t="shared" ca="1" si="32"/>
        <v>0</v>
      </c>
      <c r="CL44" s="16">
        <f t="shared" ca="1" si="50"/>
        <v>0</v>
      </c>
      <c r="CM44" s="16">
        <f ca="1">CG44+COUNTIFS($CH$6:$CH$53,CH44,$CL$6:CL$53,"&gt;"&amp;CL44,$BC$6:$BC$53,INDEX(T_Equipos[Grupo],MATCH(BD44,T_Equipos[NombreEquipo],0)))</f>
        <v>1</v>
      </c>
      <c r="CN44" s="16" t="str">
        <f ca="1">IF(COUNTIFS($CM$6:$CM$53,CM44,$BC$6:$BC$53,INDEX(T_Equipos[Grupo],MATCH(BD44,T_Equipos[NombreEquipo],0)))=1,"-","P."&amp;CM44&amp;" ("&amp;COUNTIFS($CM$6:$CM$53,CM44,$BC$6:$BC$53,INDEX(T_Equipos[Grupo],MATCH(BD44,T_Equipos[NombreEquipo],0)))&amp;")")</f>
        <v>P.1 (4)</v>
      </c>
      <c r="CO44" s="16">
        <f t="shared" ca="1" si="33"/>
        <v>0</v>
      </c>
      <c r="CP44" s="16">
        <f t="shared" ca="1" si="34"/>
        <v>0</v>
      </c>
      <c r="CQ44" s="16">
        <f t="shared" ca="1" si="51"/>
        <v>0</v>
      </c>
      <c r="CR44" s="16">
        <f ca="1">CM44+COUNTIFS($CN$6:$CN$53,CN44,$CQ$6:CQ$53,"&gt;"&amp;CQ44,$BC$6:$BC$53,INDEX(T_Equipos[Grupo],MATCH(BD44,T_Equipos[NombreEquipo],0)))</f>
        <v>1</v>
      </c>
      <c r="CS44" s="16" t="str">
        <f ca="1">IF(COUNTIFS($CR$6:$CR$53,CR44,$BC$6:$BC$53,INDEX(T_Equipos[Grupo],MATCH(BD44,T_Equipos[NombreEquipo],0)))=1,"-","P."&amp;CR44&amp;" ("&amp;COUNTIFS($CR$6:$CR$53,CR44,$BC$6:$BC$53,INDEX(T_Equipos[Grupo],MATCH(BD44,T_Equipos[NombreEquipo],0)))&amp;")")</f>
        <v>P.1 (4)</v>
      </c>
      <c r="CT44" s="16">
        <f t="shared" ca="1" si="35"/>
        <v>0</v>
      </c>
      <c r="CU44" s="16">
        <f ca="1">CR44+COUNTIFS($CS$6:$CS$53,CS44,$CT$6:CT$53,"&gt;"&amp;CT44,$BC$6:$BC$53,INDEX(T_Equipos[Grupo],MATCH(BD44,T_Equipos[NombreEquipo],0)))</f>
        <v>1</v>
      </c>
      <c r="CV44" s="16" t="str">
        <f ca="1">IF(COUNTIFS($CU$6:$CU$53,CU44,$BC$6:$BC$53,INDEX(T_Equipos[Grupo],MATCH(BD44,T_Equipos[NombreEquipo],0)))=1,"-","P."&amp;CU44&amp;" ("&amp;COUNTIFS($CU$6:$CU$53,CU44,$BC$6:$BC$53,INDEX(T_Equipos[Grupo],MATCH(BD44,T_Equipos[NombreEquipo],0)))&amp;")")</f>
        <v>P.1 (4)</v>
      </c>
      <c r="CW44" s="16">
        <f t="shared" ca="1" si="36"/>
        <v>0</v>
      </c>
      <c r="CX44" s="16">
        <f ca="1">CU44+COUNTIFS($CV$6:$CV$53,CV44,$CW$6:CW$53,"&gt;"&amp;CW44,$BC$6:$BC$53,INDEX(T_Equipos[Grupo],MATCH(BD44,T_Equipos[NombreEquipo],0)))</f>
        <v>1</v>
      </c>
      <c r="CY44" s="16" t="str">
        <f ca="1">IF(COUNTIFS($CX$6:$CX$53,CX44,$BC$6:$BC$53,INDEX(T_Equipos[Grupo],MATCH(BD44,T_Equipos[NombreEquipo],0)))=1,"-","P."&amp;CX44&amp;" ("&amp;COUNTIFS($CX$6:$CX$53,CX44,$BC$6:$BC$53,INDEX(T_Equipos[Grupo],MATCH(BD44,T_Equipos[NombreEquipo],0)))&amp;")")</f>
        <v>P.1 (4)</v>
      </c>
      <c r="CZ44" s="16">
        <f t="shared" ca="1" si="37"/>
        <v>0</v>
      </c>
      <c r="DA44" s="16">
        <f ca="1">CX44+COUNTIFS($CY$6:$CY$53,CY44,$CZ$6:CZ$53,"&gt;"&amp;CZ44,$BC$6:$BC$53,INDEX(T_Equipos[Grupo],MATCH(BD44,T_Equipos[NombreEquipo],0)))</f>
        <v>1</v>
      </c>
      <c r="DB44" s="16" t="str">
        <f ca="1">IF(COUNTIFS($DA$6:$DA$53,DA44,$BC$6:$BC$53,INDEX(T_Equipos[Grupo],MATCH(BD44,T_Equipos[NombreEquipo],0)))=1,"-","P."&amp;DA44&amp;" ("&amp;COUNTIFS($DA$6:$DA$53,DA44,$BC$6:$BC$53,INDEX(T_Equipos[Grupo],MATCH(BD44,T_Equipos[NombreEquipo],0)))&amp;")")</f>
        <v>P.1 (4)</v>
      </c>
      <c r="DC44" s="16">
        <f ca="1">IF(DB44="-","-",COUNTIFS(T_Equipos[Rank],"&lt;"&amp;INDEX(T_Equipos[Rank],MATCH(BD44,T_Equipos[NombreEquipo],0)),$BC$6:$BC$53,INDEX(T_Equipos[Grupo],MATCH(BD44,T_Equipos[NombreEquipo],0)))+1)</f>
        <v>3</v>
      </c>
      <c r="DD44" s="16">
        <f ca="1">DA44+COUNTIFS($DB$6:$DB$53,DB44,$DC$6:DC$53,"&lt;"&amp;DC44,$BC$6:$BC$53,INDEX(T_Equipos[Grupo],MATCH(BD44,T_Equipos[NombreEquipo],0)))</f>
        <v>3</v>
      </c>
      <c r="DE44" s="16"/>
      <c r="DF44" s="16">
        <f t="shared" ca="1" si="52"/>
        <v>3</v>
      </c>
      <c r="DG44" s="16">
        <f ca="1">IF(DB44="-","-",COUNTIFS(DF$6:DF$53,"&lt;"&amp;DF44,$BC$6:$BC$53,INDEX(T_Equipos[Grupo],MATCH(BD44,T_Equipos[NombreEquipo],0))))</f>
        <v>2</v>
      </c>
      <c r="DH44" s="16">
        <f ca="1">DA44+COUNTIFS(DB$6:DB$53,DB44,DG$6:DG$53,"&lt;"&amp;DG44,$BC$6:$BC$53,INDEX(T_Equipos[Grupo],MATCH(BD44,T_Equipos[NombreEquipo],0)))</f>
        <v>3</v>
      </c>
      <c r="DI44" s="16"/>
      <c r="DJ44" s="16">
        <f t="shared" ca="1" si="38"/>
        <v>1</v>
      </c>
      <c r="DK44" s="16">
        <f t="shared" ca="1" si="39"/>
        <v>0</v>
      </c>
      <c r="DL44" s="16">
        <f t="shared" ca="1" si="40"/>
        <v>1</v>
      </c>
      <c r="DM44" s="16" t="str">
        <f t="shared" ca="1" si="46"/>
        <v>1.1</v>
      </c>
      <c r="DN44" s="16" cm="1">
        <f t="array" aca="1" ref="DN44" ca="1">OFFSET(Horarios!$P$3,DJ44-1,0,DL44,1)</f>
        <v>1</v>
      </c>
      <c r="DO44" s="16"/>
      <c r="DP44" s="16" t="s">
        <v>451</v>
      </c>
      <c r="DQ44" s="16" t="str">
        <f t="shared" ca="1" si="47"/>
        <v>Austria</v>
      </c>
    </row>
    <row r="45" spans="1:121" ht="16" customHeight="1" x14ac:dyDescent="0.2">
      <c r="A45" s="16" t="str">
        <f ca="1">+Equipos!B22</f>
        <v>Netherlands</v>
      </c>
      <c r="B45" s="16"/>
      <c r="C45" s="16"/>
      <c r="D45" s="16" t="str">
        <f t="shared" si="131"/>
        <v>Pendiente</v>
      </c>
      <c r="E45" s="16" t="str">
        <f t="shared" si="132"/>
        <v>-</v>
      </c>
      <c r="F45" s="16" t="str">
        <f t="shared" si="133"/>
        <v>-</v>
      </c>
      <c r="G45" s="16"/>
      <c r="H45" s="16" t="str">
        <f t="shared" si="134"/>
        <v>-</v>
      </c>
      <c r="I45" s="16" t="str">
        <f t="shared" si="135"/>
        <v>-</v>
      </c>
      <c r="J45" s="16"/>
      <c r="K45" s="16" t="str">
        <f t="shared" si="136"/>
        <v>-</v>
      </c>
      <c r="L45" s="16" t="str">
        <f t="shared" si="137"/>
        <v>-</v>
      </c>
      <c r="M45" s="16"/>
      <c r="N45" s="16" t="str">
        <f t="shared" si="138"/>
        <v>-</v>
      </c>
      <c r="O45" s="16" t="str">
        <f t="shared" si="139"/>
        <v>-</v>
      </c>
      <c r="P45" s="16"/>
      <c r="Q45" s="16" t="str">
        <f t="shared" si="140"/>
        <v>-</v>
      </c>
      <c r="R45" s="16" t="str">
        <f t="shared" si="141"/>
        <v>-</v>
      </c>
      <c r="S45" s="16"/>
      <c r="T45" s="16" t="str">
        <f t="shared" si="142"/>
        <v>-</v>
      </c>
      <c r="U45" s="16" t="str">
        <f t="shared" si="143"/>
        <v>-</v>
      </c>
      <c r="V45" s="17"/>
      <c r="W45" s="663"/>
      <c r="X45" s="24">
        <f ca="1">Horarios!C45</f>
        <v>46187.916666666664</v>
      </c>
      <c r="Y45" s="25">
        <f ca="1">Horarios!C45</f>
        <v>46187.916666666664</v>
      </c>
      <c r="Z45" s="26" t="str">
        <f>$Z$4</f>
        <v>R1</v>
      </c>
      <c r="AA45" s="27" t="str">
        <f ca="1">A47</f>
        <v>Sweden</v>
      </c>
      <c r="AB45" s="49" t="str" cm="1">
        <f t="array" aca="1" ref="AB45" ca="1">Ver_flag_local</f>
        <v>🇸🇪</v>
      </c>
      <c r="AC45" s="50"/>
      <c r="AD45" s="51"/>
      <c r="AE45" s="595" t="str" cm="1">
        <f t="array" aca="1" ref="AE45" ca="1">Ver_flag_visit</f>
        <v>🇹🇳</v>
      </c>
      <c r="AF45" s="32" t="str">
        <f ca="1">A48</f>
        <v>Tunisia</v>
      </c>
      <c r="AG45" s="323">
        <f t="shared" si="144"/>
        <v>0</v>
      </c>
      <c r="AH45" s="195">
        <v>12</v>
      </c>
      <c r="AI45" s="181"/>
      <c r="AJ45" s="62" t="str">
        <f>AJ5</f>
        <v>Pos</v>
      </c>
      <c r="AK45" s="63"/>
      <c r="AL45" s="64" t="str">
        <f t="shared" ref="AL45:AT45" si="145">AL5</f>
        <v>Nation</v>
      </c>
      <c r="AM45" s="63" t="str">
        <f t="shared" si="145"/>
        <v>Pts</v>
      </c>
      <c r="AN45" s="63" t="str">
        <f t="shared" si="145"/>
        <v>P</v>
      </c>
      <c r="AO45" s="63" t="str">
        <f t="shared" si="145"/>
        <v>W</v>
      </c>
      <c r="AP45" s="63" t="str">
        <f t="shared" si="145"/>
        <v>D</v>
      </c>
      <c r="AQ45" s="63" t="str">
        <f t="shared" si="145"/>
        <v>L</v>
      </c>
      <c r="AR45" s="63" t="str">
        <f t="shared" si="145"/>
        <v>F</v>
      </c>
      <c r="AS45" s="63" t="str">
        <f t="shared" si="145"/>
        <v>A</v>
      </c>
      <c r="AT45" s="65" t="str">
        <f t="shared" si="145"/>
        <v>GD</v>
      </c>
      <c r="AU45" s="331">
        <f t="shared" ref="AU45" ca="1" si="146">COUNTIF(AU46:AU49,"&gt;1")</f>
        <v>0</v>
      </c>
      <c r="AV45" s="192"/>
      <c r="AW45" s="167"/>
      <c r="AX45" s="167"/>
      <c r="AY45" s="207" t="str">
        <f>AL45</f>
        <v>Nation</v>
      </c>
      <c r="AZ45" s="208" t="str">
        <f>+Idiomas!$D$67</f>
        <v>Deducted Points</v>
      </c>
      <c r="BA45" s="176"/>
      <c r="BC45" s="16" t="str">
        <f ca="1">+INDEX(T_Equipos[Grupo],MATCH(WORLDCUP!BD45,T_Equipos[NombreEquipo],0))</f>
        <v>J</v>
      </c>
      <c r="BD45" s="16" t="str">
        <f ca="1">+Equipos!B41</f>
        <v>Jordan</v>
      </c>
      <c r="BE45" s="16">
        <f t="shared" ca="1" si="16"/>
        <v>0</v>
      </c>
      <c r="BF45" s="16">
        <f t="shared" ca="1" si="41"/>
        <v>0</v>
      </c>
      <c r="BG45" s="16">
        <f t="shared" ca="1" si="17"/>
        <v>0</v>
      </c>
      <c r="BH45" s="16">
        <f t="shared" ca="1" si="18"/>
        <v>0</v>
      </c>
      <c r="BI45" s="16">
        <f t="shared" ca="1" si="19"/>
        <v>0</v>
      </c>
      <c r="BJ45" s="16">
        <f t="shared" ca="1" si="20"/>
        <v>0</v>
      </c>
      <c r="BK45" s="16">
        <f t="shared" ca="1" si="21"/>
        <v>0</v>
      </c>
      <c r="BL45" s="16">
        <f t="shared" ca="1" si="42"/>
        <v>0</v>
      </c>
      <c r="BM45" s="16" t="str">
        <f t="shared" ca="1" si="22"/>
        <v>4J</v>
      </c>
      <c r="BN45" s="16" t="str">
        <f t="shared" ca="1" si="23"/>
        <v>4J</v>
      </c>
      <c r="BO45" s="16">
        <f t="shared" ca="1" si="43"/>
        <v>0</v>
      </c>
      <c r="BP45" s="16">
        <f ca="1">COUNTIFS($BO$6:$BO$53,"&gt;"&amp;BO45,$BC$6:$BC$53,INDEX(T_Equipos[Grupo],MATCH(BD45,T_Equipos[NombreEquipo],0)))+1</f>
        <v>1</v>
      </c>
      <c r="BQ45" s="16" t="str">
        <f ca="1">IF(COUNTIFS($BP$6:$BP$53,BP45,$BC$6:$BC$53,INDEX(T_Equipos[Grupo],MATCH(BD45,T_Equipos[NombreEquipo],0)))=1,"-","P."&amp;BP45&amp;" ("&amp;COUNTIFS($BP$6:$BP$53,BP45,$BC$6:$BC$53,INDEX(T_Equipos[Grupo],MATCH(BD45,T_Equipos[NombreEquipo],0)))&amp;")")</f>
        <v>P.1 (4)</v>
      </c>
      <c r="BR45" s="16">
        <f t="shared" ca="1" si="44"/>
        <v>0</v>
      </c>
      <c r="BS45" s="16">
        <f ca="1">BP45+COUNTIFS($BQ$6:$BQ$53,BQ45,$BR$6:BR$53,"&gt;"&amp;BR45,$BC$6:$BC$53,INDEX(T_Equipos[Grupo],MATCH(BD45,T_Equipos[NombreEquipo],0)))</f>
        <v>1</v>
      </c>
      <c r="BT45" s="16" t="str">
        <f ca="1">IF(COUNTIFS($BS$6:$BS$53,BS45,$BC$6:$BC$53,INDEX(T_Equipos[Grupo],MATCH(BD45,T_Equipos[NombreEquipo],0)))=1,"-","P."&amp;BS45&amp;" ("&amp;COUNTIFS($BS$6:$BS$53,BS45,$BC$6:$BC$53,INDEX(T_Equipos[Grupo],MATCH(BD45,T_Equipos[NombreEquipo],0)))&amp;")")</f>
        <v>P.1 (4)</v>
      </c>
      <c r="BU45" s="16">
        <f t="shared" ca="1" si="24"/>
        <v>0</v>
      </c>
      <c r="BV45" s="16">
        <f t="shared" ca="1" si="25"/>
        <v>0</v>
      </c>
      <c r="BW45" s="16">
        <f t="shared" ca="1" si="26"/>
        <v>0</v>
      </c>
      <c r="BX45" s="16">
        <f t="shared" ca="1" si="48"/>
        <v>0</v>
      </c>
      <c r="BY45" s="16">
        <f ca="1">BS45+COUNTIFS($BT$6:$BT$53,BT45,$BX$6:BX$53,"&gt;"&amp;BX45,$BC$6:$BC$53,INDEX(T_Equipos[Grupo],MATCH(BD45,T_Equipos[NombreEquipo],0)))</f>
        <v>1</v>
      </c>
      <c r="BZ45" s="16" t="str">
        <f ca="1">IF(COUNTIFS($BY$6:$BY$53,BY45,$BC$6:$BC$53,INDEX(T_Equipos[Grupo],MATCH(BD45,T_Equipos[NombreEquipo],0)))=1,"-","P."&amp;BY45&amp;" ("&amp;COUNTIFS($BY$6:$BY$53,BY45,$BC$6:$BC$53,INDEX(T_Equipos[Grupo],MATCH(BD45,T_Equipos[NombreEquipo],0)))&amp;")")</f>
        <v>P.1 (4)</v>
      </c>
      <c r="CA45" s="16">
        <f t="shared" ca="1" si="27"/>
        <v>0</v>
      </c>
      <c r="CB45" s="16">
        <f t="shared" ca="1" si="28"/>
        <v>0</v>
      </c>
      <c r="CC45" s="16">
        <f t="shared" ca="1" si="49"/>
        <v>0</v>
      </c>
      <c r="CD45" s="16">
        <f ca="1">BY45+COUNTIFS($BZ$6:$BZ$53,BZ45,$CC$6:CC$53,"&gt;"&amp;CC45,$BC$6:$BC$53,INDEX(T_Equipos[Grupo],MATCH(BD45,T_Equipos[NombreEquipo],0)))</f>
        <v>1</v>
      </c>
      <c r="CE45" s="16" t="str">
        <f ca="1">IF(COUNTIFS($CD$6:$CD$53,CD45,$BC$6:$BC$53,INDEX(T_Equipos[Grupo],MATCH(BD45,T_Equipos[NombreEquipo],0)))=1,"-","P."&amp;CD45&amp;" ("&amp;COUNTIFS($CD$6:$CD$53,CD45,$BC$6:$BC$53,INDEX(T_Equipos[Grupo],MATCH(BD45,T_Equipos[NombreEquipo],0)))&amp;")")</f>
        <v>P.1 (4)</v>
      </c>
      <c r="CF45" s="16">
        <f t="shared" ca="1" si="29"/>
        <v>0</v>
      </c>
      <c r="CG45" s="16">
        <f ca="1">CD45+COUNTIFS($CE$6:$CE$53,CE45,$CF$6:CF$53,"&gt;"&amp;CF45,$BC$6:$BC$53,INDEX(T_Equipos[Grupo],MATCH(BD45,T_Equipos[NombreEquipo],0)))</f>
        <v>1</v>
      </c>
      <c r="CH45" s="16" t="str">
        <f ca="1">IF(COUNTIFS($CG$6:$CG$53,CG45,$BC$6:$BC$53,INDEX(T_Equipos[Grupo],MATCH(BD45,T_Equipos[NombreEquipo],0)))=1,"-","P."&amp;CG45&amp;" ("&amp;COUNTIFS($CG$6:$CG$53,CG45,$BC$6:$BC$53,INDEX(T_Equipos[Grupo],MATCH(BD45,T_Equipos[NombreEquipo],0)))&amp;")")</f>
        <v>P.1 (4)</v>
      </c>
      <c r="CI45" s="16">
        <f t="shared" ca="1" si="30"/>
        <v>0</v>
      </c>
      <c r="CJ45" s="16">
        <f t="shared" ca="1" si="31"/>
        <v>0</v>
      </c>
      <c r="CK45" s="16">
        <f t="shared" ca="1" si="32"/>
        <v>0</v>
      </c>
      <c r="CL45" s="16">
        <f t="shared" ca="1" si="50"/>
        <v>0</v>
      </c>
      <c r="CM45" s="16">
        <f ca="1">CG45+COUNTIFS($CH$6:$CH$53,CH45,$CL$6:CL$53,"&gt;"&amp;CL45,$BC$6:$BC$53,INDEX(T_Equipos[Grupo],MATCH(BD45,T_Equipos[NombreEquipo],0)))</f>
        <v>1</v>
      </c>
      <c r="CN45" s="16" t="str">
        <f ca="1">IF(COUNTIFS($CM$6:$CM$53,CM45,$BC$6:$BC$53,INDEX(T_Equipos[Grupo],MATCH(BD45,T_Equipos[NombreEquipo],0)))=1,"-","P."&amp;CM45&amp;" ("&amp;COUNTIFS($CM$6:$CM$53,CM45,$BC$6:$BC$53,INDEX(T_Equipos[Grupo],MATCH(BD45,T_Equipos[NombreEquipo],0)))&amp;")")</f>
        <v>P.1 (4)</v>
      </c>
      <c r="CO45" s="16">
        <f t="shared" ca="1" si="33"/>
        <v>0</v>
      </c>
      <c r="CP45" s="16">
        <f t="shared" ca="1" si="34"/>
        <v>0</v>
      </c>
      <c r="CQ45" s="16">
        <f t="shared" ca="1" si="51"/>
        <v>0</v>
      </c>
      <c r="CR45" s="16">
        <f ca="1">CM45+COUNTIFS($CN$6:$CN$53,CN45,$CQ$6:CQ$53,"&gt;"&amp;CQ45,$BC$6:$BC$53,INDEX(T_Equipos[Grupo],MATCH(BD45,T_Equipos[NombreEquipo],0)))</f>
        <v>1</v>
      </c>
      <c r="CS45" s="16" t="str">
        <f ca="1">IF(COUNTIFS($CR$6:$CR$53,CR45,$BC$6:$BC$53,INDEX(T_Equipos[Grupo],MATCH(BD45,T_Equipos[NombreEquipo],0)))=1,"-","P."&amp;CR45&amp;" ("&amp;COUNTIFS($CR$6:$CR$53,CR45,$BC$6:$BC$53,INDEX(T_Equipos[Grupo],MATCH(BD45,T_Equipos[NombreEquipo],0)))&amp;")")</f>
        <v>P.1 (4)</v>
      </c>
      <c r="CT45" s="16">
        <f t="shared" ca="1" si="35"/>
        <v>0</v>
      </c>
      <c r="CU45" s="16">
        <f ca="1">CR45+COUNTIFS($CS$6:$CS$53,CS45,$CT$6:CT$53,"&gt;"&amp;CT45,$BC$6:$BC$53,INDEX(T_Equipos[Grupo],MATCH(BD45,T_Equipos[NombreEquipo],0)))</f>
        <v>1</v>
      </c>
      <c r="CV45" s="16" t="str">
        <f ca="1">IF(COUNTIFS($CU$6:$CU$53,CU45,$BC$6:$BC$53,INDEX(T_Equipos[Grupo],MATCH(BD45,T_Equipos[NombreEquipo],0)))=1,"-","P."&amp;CU45&amp;" ("&amp;COUNTIFS($CU$6:$CU$53,CU45,$BC$6:$BC$53,INDEX(T_Equipos[Grupo],MATCH(BD45,T_Equipos[NombreEquipo],0)))&amp;")")</f>
        <v>P.1 (4)</v>
      </c>
      <c r="CW45" s="16">
        <f t="shared" ca="1" si="36"/>
        <v>0</v>
      </c>
      <c r="CX45" s="16">
        <f ca="1">CU45+COUNTIFS($CV$6:$CV$53,CV45,$CW$6:CW$53,"&gt;"&amp;CW45,$BC$6:$BC$53,INDEX(T_Equipos[Grupo],MATCH(BD45,T_Equipos[NombreEquipo],0)))</f>
        <v>1</v>
      </c>
      <c r="CY45" s="16" t="str">
        <f ca="1">IF(COUNTIFS($CX$6:$CX$53,CX45,$BC$6:$BC$53,INDEX(T_Equipos[Grupo],MATCH(BD45,T_Equipos[NombreEquipo],0)))=1,"-","P."&amp;CX45&amp;" ("&amp;COUNTIFS($CX$6:$CX$53,CX45,$BC$6:$BC$53,INDEX(T_Equipos[Grupo],MATCH(BD45,T_Equipos[NombreEquipo],0)))&amp;")")</f>
        <v>P.1 (4)</v>
      </c>
      <c r="CZ45" s="16">
        <f t="shared" ca="1" si="37"/>
        <v>0</v>
      </c>
      <c r="DA45" s="16">
        <f ca="1">CX45+COUNTIFS($CY$6:$CY$53,CY45,$CZ$6:CZ$53,"&gt;"&amp;CZ45,$BC$6:$BC$53,INDEX(T_Equipos[Grupo],MATCH(BD45,T_Equipos[NombreEquipo],0)))</f>
        <v>1</v>
      </c>
      <c r="DB45" s="16" t="str">
        <f ca="1">IF(COUNTIFS($DA$6:$DA$53,DA45,$BC$6:$BC$53,INDEX(T_Equipos[Grupo],MATCH(BD45,T_Equipos[NombreEquipo],0)))=1,"-","P."&amp;DA45&amp;" ("&amp;COUNTIFS($DA$6:$DA$53,DA45,$BC$6:$BC$53,INDEX(T_Equipos[Grupo],MATCH(BD45,T_Equipos[NombreEquipo],0)))&amp;")")</f>
        <v>P.1 (4)</v>
      </c>
      <c r="DC45" s="16">
        <f ca="1">IF(DB45="-","-",COUNTIFS(T_Equipos[Rank],"&lt;"&amp;INDEX(T_Equipos[Rank],MATCH(BD45,T_Equipos[NombreEquipo],0)),$BC$6:$BC$53,INDEX(T_Equipos[Grupo],MATCH(BD45,T_Equipos[NombreEquipo],0)))+1)</f>
        <v>4</v>
      </c>
      <c r="DD45" s="16">
        <f ca="1">DA45+COUNTIFS($DB$6:$DB$53,DB45,$DC$6:DC$53,"&lt;"&amp;DC45,$BC$6:$BC$53,INDEX(T_Equipos[Grupo],MATCH(BD45,T_Equipos[NombreEquipo],0)))</f>
        <v>4</v>
      </c>
      <c r="DE45" s="16"/>
      <c r="DF45" s="16">
        <f t="shared" ca="1" si="52"/>
        <v>4</v>
      </c>
      <c r="DG45" s="16">
        <f ca="1">IF(DB45="-","-",COUNTIFS(DF$6:DF$53,"&lt;"&amp;DF45,$BC$6:$BC$53,INDEX(T_Equipos[Grupo],MATCH(BD45,T_Equipos[NombreEquipo],0))))</f>
        <v>3</v>
      </c>
      <c r="DH45" s="16">
        <f ca="1">DA45+COUNTIFS(DB$6:DB$53,DB45,DG$6:DG$53,"&lt;"&amp;DG45,$BC$6:$BC$53,INDEX(T_Equipos[Grupo],MATCH(BD45,T_Equipos[NombreEquipo],0)))</f>
        <v>4</v>
      </c>
      <c r="DI45" s="16"/>
      <c r="DJ45" s="16">
        <f t="shared" ca="1" si="38"/>
        <v>1</v>
      </c>
      <c r="DK45" s="16">
        <f t="shared" ca="1" si="39"/>
        <v>0</v>
      </c>
      <c r="DL45" s="16">
        <f t="shared" ca="1" si="40"/>
        <v>1</v>
      </c>
      <c r="DM45" s="16" t="str">
        <f t="shared" ca="1" si="46"/>
        <v>1.1</v>
      </c>
      <c r="DN45" s="16" cm="1">
        <f t="array" aca="1" ref="DN45" ca="1">OFFSET(Horarios!$P$3,DJ45-1,0,DL45,1)</f>
        <v>1</v>
      </c>
      <c r="DO45" s="16"/>
      <c r="DP45" s="16" t="s">
        <v>689</v>
      </c>
      <c r="DQ45" s="16" t="str">
        <f t="shared" ca="1" si="47"/>
        <v>Jordan</v>
      </c>
    </row>
    <row r="46" spans="1:121" ht="16" customHeight="1" x14ac:dyDescent="0.2">
      <c r="A46" s="16" t="str">
        <f ca="1">+Equipos!B23</f>
        <v>Japan</v>
      </c>
      <c r="B46" s="16"/>
      <c r="C46" s="16"/>
      <c r="D46" s="16" t="str">
        <f t="shared" si="131"/>
        <v>Pendiente</v>
      </c>
      <c r="E46" s="16" t="str">
        <f t="shared" si="132"/>
        <v>-</v>
      </c>
      <c r="F46" s="16" t="str">
        <f t="shared" si="133"/>
        <v>-</v>
      </c>
      <c r="G46" s="16"/>
      <c r="H46" s="16" t="str">
        <f t="shared" si="134"/>
        <v>-</v>
      </c>
      <c r="I46" s="16" t="str">
        <f t="shared" si="135"/>
        <v>-</v>
      </c>
      <c r="J46" s="16"/>
      <c r="K46" s="16" t="str">
        <f t="shared" si="136"/>
        <v>-</v>
      </c>
      <c r="L46" s="16" t="str">
        <f t="shared" si="137"/>
        <v>-</v>
      </c>
      <c r="M46" s="16"/>
      <c r="N46" s="16" t="str">
        <f t="shared" si="138"/>
        <v>-</v>
      </c>
      <c r="O46" s="16" t="str">
        <f t="shared" si="139"/>
        <v>-</v>
      </c>
      <c r="P46" s="16"/>
      <c r="Q46" s="16" t="str">
        <f t="shared" si="140"/>
        <v>-</v>
      </c>
      <c r="R46" s="16" t="str">
        <f t="shared" si="141"/>
        <v>-</v>
      </c>
      <c r="S46" s="16"/>
      <c r="T46" s="16" t="str">
        <f t="shared" si="142"/>
        <v>-</v>
      </c>
      <c r="U46" s="16" t="str">
        <f t="shared" si="143"/>
        <v>-</v>
      </c>
      <c r="V46" s="17"/>
      <c r="W46" s="663"/>
      <c r="X46" s="24">
        <f ca="1">Horarios!C46</f>
        <v>46193.541666666664</v>
      </c>
      <c r="Y46" s="25">
        <f ca="1">Horarios!C46</f>
        <v>46193.541666666664</v>
      </c>
      <c r="Z46" s="26" t="str">
        <f>$Z$6</f>
        <v>R2</v>
      </c>
      <c r="AA46" s="27" t="str">
        <f ca="1">A45</f>
        <v>Netherlands</v>
      </c>
      <c r="AB46" s="49" t="str" cm="1">
        <f t="array" aca="1" ref="AB46" ca="1">Ver_flag_local</f>
        <v>🇳🇱</v>
      </c>
      <c r="AC46" s="50"/>
      <c r="AD46" s="51"/>
      <c r="AE46" s="595" t="str" cm="1">
        <f t="array" aca="1" ref="AE46" ca="1">Ver_flag_visit</f>
        <v>🇸🇪</v>
      </c>
      <c r="AF46" s="32" t="str">
        <f ca="1">A47</f>
        <v>Sweden</v>
      </c>
      <c r="AG46" s="323">
        <f t="shared" si="144"/>
        <v>0</v>
      </c>
      <c r="AH46" s="195">
        <v>35</v>
      </c>
      <c r="AI46" s="181" t="str">
        <f>AJ46&amp;$B$44</f>
        <v>1F</v>
      </c>
      <c r="AJ46" s="40">
        <v>1</v>
      </c>
      <c r="AK46" s="601" t="str" cm="1">
        <f t="array" aca="1" ref="AK46" ca="1">Ver_flag_visit</f>
        <v>🇳🇱</v>
      </c>
      <c r="AL46" s="34" t="str">
        <f ca="1">IFERROR(INDEX($BD$6:$BD$53,MATCH(AI46,$BN$6:$BN$53,0)),"")</f>
        <v>Netherlands</v>
      </c>
      <c r="AM46" s="35">
        <f t="shared" ref="AM46:AT49" ca="1" si="147">INDEX($BE$6:$BN$53,MATCH($AL46,$BD$6:$BD$53,0),MATCH(AM$5,$BE$5:$BN$5,0))</f>
        <v>0</v>
      </c>
      <c r="AN46" s="36">
        <f t="shared" ca="1" si="147"/>
        <v>0</v>
      </c>
      <c r="AO46" s="36">
        <f t="shared" ca="1" si="147"/>
        <v>0</v>
      </c>
      <c r="AP46" s="36">
        <f t="shared" ca="1" si="147"/>
        <v>0</v>
      </c>
      <c r="AQ46" s="36">
        <f t="shared" ca="1" si="147"/>
        <v>0</v>
      </c>
      <c r="AR46" s="36">
        <f t="shared" ca="1" si="147"/>
        <v>0</v>
      </c>
      <c r="AS46" s="36">
        <f t="shared" ca="1" si="147"/>
        <v>0</v>
      </c>
      <c r="AT46" s="41">
        <f t="shared" ca="1" si="147"/>
        <v>0</v>
      </c>
      <c r="AU46" s="330">
        <f ca="1">INDEX($DL$6:$DL$53,MATCH(AI46,$DP$6:$DP$53,0))</f>
        <v>1</v>
      </c>
      <c r="AV46" s="182" t="str">
        <f ca="1">INDEX($BD$6:$BD$53,MATCH(AI46,$BM$6:$BM$53,0))</f>
        <v>Netherlands</v>
      </c>
      <c r="AW46" s="210"/>
      <c r="AX46" s="171"/>
      <c r="AY46" s="201" t="str">
        <f ca="1">+A45</f>
        <v>Netherlands</v>
      </c>
      <c r="AZ46" s="202"/>
      <c r="BA46" s="176"/>
      <c r="BC46" s="16" t="str">
        <f ca="1">+INDEX(T_Equipos[Grupo],MATCH(WORLDCUP!BD46,T_Equipos[NombreEquipo],0))</f>
        <v>K</v>
      </c>
      <c r="BD46" s="16" t="str">
        <f ca="1">+Equipos!B42</f>
        <v>Portugal</v>
      </c>
      <c r="BE46" s="16">
        <f t="shared" ca="1" si="16"/>
        <v>0</v>
      </c>
      <c r="BF46" s="16">
        <f t="shared" ca="1" si="41"/>
        <v>0</v>
      </c>
      <c r="BG46" s="16">
        <f t="shared" ca="1" si="17"/>
        <v>0</v>
      </c>
      <c r="BH46" s="16">
        <f t="shared" ca="1" si="18"/>
        <v>0</v>
      </c>
      <c r="BI46" s="16">
        <f t="shared" ca="1" si="19"/>
        <v>0</v>
      </c>
      <c r="BJ46" s="16">
        <f t="shared" ca="1" si="20"/>
        <v>0</v>
      </c>
      <c r="BK46" s="16">
        <f t="shared" ca="1" si="21"/>
        <v>0</v>
      </c>
      <c r="BL46" s="16">
        <f t="shared" ca="1" si="42"/>
        <v>0</v>
      </c>
      <c r="BM46" s="16" t="str">
        <f t="shared" ca="1" si="22"/>
        <v>1K</v>
      </c>
      <c r="BN46" s="16" t="str">
        <f t="shared" ca="1" si="23"/>
        <v>1K</v>
      </c>
      <c r="BO46" s="16">
        <f t="shared" ca="1" si="43"/>
        <v>0</v>
      </c>
      <c r="BP46" s="16">
        <f ca="1">COUNTIFS($BO$6:$BO$53,"&gt;"&amp;BO46,$BC$6:$BC$53,INDEX(T_Equipos[Grupo],MATCH(BD46,T_Equipos[NombreEquipo],0)))+1</f>
        <v>1</v>
      </c>
      <c r="BQ46" s="16" t="str">
        <f ca="1">IF(COUNTIFS($BP$6:$BP$53,BP46,$BC$6:$BC$53,INDEX(T_Equipos[Grupo],MATCH(BD46,T_Equipos[NombreEquipo],0)))=1,"-","P."&amp;BP46&amp;" ("&amp;COUNTIFS($BP$6:$BP$53,BP46,$BC$6:$BC$53,INDEX(T_Equipos[Grupo],MATCH(BD46,T_Equipos[NombreEquipo],0)))&amp;")")</f>
        <v>P.1 (4)</v>
      </c>
      <c r="BR46" s="16">
        <f t="shared" ca="1" si="44"/>
        <v>0</v>
      </c>
      <c r="BS46" s="16">
        <f ca="1">BP46+COUNTIFS($BQ$6:$BQ$53,BQ46,$BR$6:BR$53,"&gt;"&amp;BR46,$BC$6:$BC$53,INDEX(T_Equipos[Grupo],MATCH(BD46,T_Equipos[NombreEquipo],0)))</f>
        <v>1</v>
      </c>
      <c r="BT46" s="16" t="str">
        <f ca="1">IF(COUNTIFS($BS$6:$BS$53,BS46,$BC$6:$BC$53,INDEX(T_Equipos[Grupo],MATCH(BD46,T_Equipos[NombreEquipo],0)))=1,"-","P."&amp;BS46&amp;" ("&amp;COUNTIFS($BS$6:$BS$53,BS46,$BC$6:$BC$53,INDEX(T_Equipos[Grupo],MATCH(BD46,T_Equipos[NombreEquipo],0)))&amp;")")</f>
        <v>P.1 (4)</v>
      </c>
      <c r="BU46" s="16">
        <f t="shared" ca="1" si="24"/>
        <v>0</v>
      </c>
      <c r="BV46" s="16">
        <f t="shared" ca="1" si="25"/>
        <v>0</v>
      </c>
      <c r="BW46" s="16">
        <f t="shared" ca="1" si="26"/>
        <v>0</v>
      </c>
      <c r="BX46" s="16">
        <f t="shared" ca="1" si="48"/>
        <v>0</v>
      </c>
      <c r="BY46" s="16">
        <f ca="1">BS46+COUNTIFS($BT$6:$BT$53,BT46,$BX$6:BX$53,"&gt;"&amp;BX46,$BC$6:$BC$53,INDEX(T_Equipos[Grupo],MATCH(BD46,T_Equipos[NombreEquipo],0)))</f>
        <v>1</v>
      </c>
      <c r="BZ46" s="16" t="str">
        <f ca="1">IF(COUNTIFS($BY$6:$BY$53,BY46,$BC$6:$BC$53,INDEX(T_Equipos[Grupo],MATCH(BD46,T_Equipos[NombreEquipo],0)))=1,"-","P."&amp;BY46&amp;" ("&amp;COUNTIFS($BY$6:$BY$53,BY46,$BC$6:$BC$53,INDEX(T_Equipos[Grupo],MATCH(BD46,T_Equipos[NombreEquipo],0)))&amp;")")</f>
        <v>P.1 (4)</v>
      </c>
      <c r="CA46" s="16">
        <f t="shared" ca="1" si="27"/>
        <v>0</v>
      </c>
      <c r="CB46" s="16">
        <f t="shared" ca="1" si="28"/>
        <v>0</v>
      </c>
      <c r="CC46" s="16">
        <f t="shared" ca="1" si="49"/>
        <v>0</v>
      </c>
      <c r="CD46" s="16">
        <f ca="1">BY46+COUNTIFS($BZ$6:$BZ$53,BZ46,$CC$6:CC$53,"&gt;"&amp;CC46,$BC$6:$BC$53,INDEX(T_Equipos[Grupo],MATCH(BD46,T_Equipos[NombreEquipo],0)))</f>
        <v>1</v>
      </c>
      <c r="CE46" s="16" t="str">
        <f ca="1">IF(COUNTIFS($CD$6:$CD$53,CD46,$BC$6:$BC$53,INDEX(T_Equipos[Grupo],MATCH(BD46,T_Equipos[NombreEquipo],0)))=1,"-","P."&amp;CD46&amp;" ("&amp;COUNTIFS($CD$6:$CD$53,CD46,$BC$6:$BC$53,INDEX(T_Equipos[Grupo],MATCH(BD46,T_Equipos[NombreEquipo],0)))&amp;")")</f>
        <v>P.1 (4)</v>
      </c>
      <c r="CF46" s="16">
        <f t="shared" ca="1" si="29"/>
        <v>0</v>
      </c>
      <c r="CG46" s="16">
        <f ca="1">CD46+COUNTIFS($CE$6:$CE$53,CE46,$CF$6:CF$53,"&gt;"&amp;CF46,$BC$6:$BC$53,INDEX(T_Equipos[Grupo],MATCH(BD46,T_Equipos[NombreEquipo],0)))</f>
        <v>1</v>
      </c>
      <c r="CH46" s="16" t="str">
        <f ca="1">IF(COUNTIFS($CG$6:$CG$53,CG46,$BC$6:$BC$53,INDEX(T_Equipos[Grupo],MATCH(BD46,T_Equipos[NombreEquipo],0)))=1,"-","P."&amp;CG46&amp;" ("&amp;COUNTIFS($CG$6:$CG$53,CG46,$BC$6:$BC$53,INDEX(T_Equipos[Grupo],MATCH(BD46,T_Equipos[NombreEquipo],0)))&amp;")")</f>
        <v>P.1 (4)</v>
      </c>
      <c r="CI46" s="16">
        <f t="shared" ca="1" si="30"/>
        <v>0</v>
      </c>
      <c r="CJ46" s="16">
        <f t="shared" ca="1" si="31"/>
        <v>0</v>
      </c>
      <c r="CK46" s="16">
        <f t="shared" ca="1" si="32"/>
        <v>0</v>
      </c>
      <c r="CL46" s="16">
        <f t="shared" ca="1" si="50"/>
        <v>0</v>
      </c>
      <c r="CM46" s="16">
        <f ca="1">CG46+COUNTIFS($CH$6:$CH$53,CH46,$CL$6:CL$53,"&gt;"&amp;CL46,$BC$6:$BC$53,INDEX(T_Equipos[Grupo],MATCH(BD46,T_Equipos[NombreEquipo],0)))</f>
        <v>1</v>
      </c>
      <c r="CN46" s="16" t="str">
        <f ca="1">IF(COUNTIFS($CM$6:$CM$53,CM46,$BC$6:$BC$53,INDEX(T_Equipos[Grupo],MATCH(BD46,T_Equipos[NombreEquipo],0)))=1,"-","P."&amp;CM46&amp;" ("&amp;COUNTIFS($CM$6:$CM$53,CM46,$BC$6:$BC$53,INDEX(T_Equipos[Grupo],MATCH(BD46,T_Equipos[NombreEquipo],0)))&amp;")")</f>
        <v>P.1 (4)</v>
      </c>
      <c r="CO46" s="16">
        <f t="shared" ca="1" si="33"/>
        <v>0</v>
      </c>
      <c r="CP46" s="16">
        <f t="shared" ca="1" si="34"/>
        <v>0</v>
      </c>
      <c r="CQ46" s="16">
        <f t="shared" ca="1" si="51"/>
        <v>0</v>
      </c>
      <c r="CR46" s="16">
        <f ca="1">CM46+COUNTIFS($CN$6:$CN$53,CN46,$CQ$6:CQ$53,"&gt;"&amp;CQ46,$BC$6:$BC$53,INDEX(T_Equipos[Grupo],MATCH(BD46,T_Equipos[NombreEquipo],0)))</f>
        <v>1</v>
      </c>
      <c r="CS46" s="16" t="str">
        <f ca="1">IF(COUNTIFS($CR$6:$CR$53,CR46,$BC$6:$BC$53,INDEX(T_Equipos[Grupo],MATCH(BD46,T_Equipos[NombreEquipo],0)))=1,"-","P."&amp;CR46&amp;" ("&amp;COUNTIFS($CR$6:$CR$53,CR46,$BC$6:$BC$53,INDEX(T_Equipos[Grupo],MATCH(BD46,T_Equipos[NombreEquipo],0)))&amp;")")</f>
        <v>P.1 (4)</v>
      </c>
      <c r="CT46" s="16">
        <f t="shared" ca="1" si="35"/>
        <v>0</v>
      </c>
      <c r="CU46" s="16">
        <f ca="1">CR46+COUNTIFS($CS$6:$CS$53,CS46,$CT$6:CT$53,"&gt;"&amp;CT46,$BC$6:$BC$53,INDEX(T_Equipos[Grupo],MATCH(BD46,T_Equipos[NombreEquipo],0)))</f>
        <v>1</v>
      </c>
      <c r="CV46" s="16" t="str">
        <f ca="1">IF(COUNTIFS($CU$6:$CU$53,CU46,$BC$6:$BC$53,INDEX(T_Equipos[Grupo],MATCH(BD46,T_Equipos[NombreEquipo],0)))=1,"-","P."&amp;CU46&amp;" ("&amp;COUNTIFS($CU$6:$CU$53,CU46,$BC$6:$BC$53,INDEX(T_Equipos[Grupo],MATCH(BD46,T_Equipos[NombreEquipo],0)))&amp;")")</f>
        <v>P.1 (4)</v>
      </c>
      <c r="CW46" s="16">
        <f t="shared" ca="1" si="36"/>
        <v>0</v>
      </c>
      <c r="CX46" s="16">
        <f ca="1">CU46+COUNTIFS($CV$6:$CV$53,CV46,$CW$6:CW$53,"&gt;"&amp;CW46,$BC$6:$BC$53,INDEX(T_Equipos[Grupo],MATCH(BD46,T_Equipos[NombreEquipo],0)))</f>
        <v>1</v>
      </c>
      <c r="CY46" s="16" t="str">
        <f ca="1">IF(COUNTIFS($CX$6:$CX$53,CX46,$BC$6:$BC$53,INDEX(T_Equipos[Grupo],MATCH(BD46,T_Equipos[NombreEquipo],0)))=1,"-","P."&amp;CX46&amp;" ("&amp;COUNTIFS($CX$6:$CX$53,CX46,$BC$6:$BC$53,INDEX(T_Equipos[Grupo],MATCH(BD46,T_Equipos[NombreEquipo],0)))&amp;")")</f>
        <v>P.1 (4)</v>
      </c>
      <c r="CZ46" s="16">
        <f t="shared" ca="1" si="37"/>
        <v>0</v>
      </c>
      <c r="DA46" s="16">
        <f ca="1">CX46+COUNTIFS($CY$6:$CY$53,CY46,$CZ$6:CZ$53,"&gt;"&amp;CZ46,$BC$6:$BC$53,INDEX(T_Equipos[Grupo],MATCH(BD46,T_Equipos[NombreEquipo],0)))</f>
        <v>1</v>
      </c>
      <c r="DB46" s="16" t="str">
        <f ca="1">IF(COUNTIFS($DA$6:$DA$53,DA46,$BC$6:$BC$53,INDEX(T_Equipos[Grupo],MATCH(BD46,T_Equipos[NombreEquipo],0)))=1,"-","P."&amp;DA46&amp;" ("&amp;COUNTIFS($DA$6:$DA$53,DA46,$BC$6:$BC$53,INDEX(T_Equipos[Grupo],MATCH(BD46,T_Equipos[NombreEquipo],0)))&amp;")")</f>
        <v>P.1 (4)</v>
      </c>
      <c r="DC46" s="16">
        <f ca="1">IF(DB46="-","-",COUNTIFS(T_Equipos[Rank],"&lt;"&amp;INDEX(T_Equipos[Rank],MATCH(BD46,T_Equipos[NombreEquipo],0)),$BC$6:$BC$53,INDEX(T_Equipos[Grupo],MATCH(BD46,T_Equipos[NombreEquipo],0)))+1)</f>
        <v>1</v>
      </c>
      <c r="DD46" s="16">
        <f ca="1">DA46+COUNTIFS($DB$6:$DB$53,DB46,$DC$6:DC$53,"&lt;"&amp;DC46,$BC$6:$BC$53,INDEX(T_Equipos[Grupo],MATCH(BD46,T_Equipos[NombreEquipo],0)))</f>
        <v>1</v>
      </c>
      <c r="DE46" s="16"/>
      <c r="DF46" s="16">
        <f t="shared" ca="1" si="52"/>
        <v>1</v>
      </c>
      <c r="DG46" s="16">
        <f ca="1">IF(DB46="-","-",COUNTIFS(DF$6:DF$53,"&lt;"&amp;DF46,$BC$6:$BC$53,INDEX(T_Equipos[Grupo],MATCH(BD46,T_Equipos[NombreEquipo],0))))</f>
        <v>0</v>
      </c>
      <c r="DH46" s="16">
        <f ca="1">DA46+COUNTIFS(DB$6:DB$53,DB46,DG$6:DG$53,"&lt;"&amp;DG46,$BC$6:$BC$53,INDEX(T_Equipos[Grupo],MATCH(BD46,T_Equipos[NombreEquipo],0)))</f>
        <v>1</v>
      </c>
      <c r="DI46" s="16"/>
      <c r="DJ46" s="16">
        <f t="shared" ca="1" si="38"/>
        <v>1</v>
      </c>
      <c r="DK46" s="16">
        <f t="shared" ca="1" si="39"/>
        <v>0</v>
      </c>
      <c r="DL46" s="16">
        <f t="shared" ca="1" si="40"/>
        <v>1</v>
      </c>
      <c r="DM46" s="16" t="str">
        <f t="shared" ca="1" si="46"/>
        <v>1.1</v>
      </c>
      <c r="DN46" s="16" cm="1">
        <f t="array" aca="1" ref="DN46" ca="1">OFFSET(Horarios!$P$3,DJ46-1,0,DL46,1)</f>
        <v>1</v>
      </c>
      <c r="DO46" s="16"/>
      <c r="DP46" s="16" t="s">
        <v>690</v>
      </c>
      <c r="DQ46" s="16" t="str">
        <f t="shared" ca="1" si="47"/>
        <v>Portugal</v>
      </c>
    </row>
    <row r="47" spans="1:121" ht="16" customHeight="1" x14ac:dyDescent="0.2">
      <c r="A47" s="16" t="str">
        <f ca="1">+Equipos!B24</f>
        <v>Sweden</v>
      </c>
      <c r="B47" s="16"/>
      <c r="C47" s="16"/>
      <c r="D47" s="16" t="str">
        <f t="shared" si="131"/>
        <v>Pendiente</v>
      </c>
      <c r="E47" s="16" t="str">
        <f t="shared" si="132"/>
        <v>-</v>
      </c>
      <c r="F47" s="16" t="str">
        <f t="shared" si="133"/>
        <v>-</v>
      </c>
      <c r="G47" s="16"/>
      <c r="H47" s="16" t="str">
        <f t="shared" si="134"/>
        <v>-</v>
      </c>
      <c r="I47" s="16" t="str">
        <f t="shared" si="135"/>
        <v>-</v>
      </c>
      <c r="J47" s="16"/>
      <c r="K47" s="16" t="str">
        <f t="shared" si="136"/>
        <v>-</v>
      </c>
      <c r="L47" s="16" t="str">
        <f t="shared" si="137"/>
        <v>-</v>
      </c>
      <c r="M47" s="16"/>
      <c r="N47" s="16" t="str">
        <f t="shared" si="138"/>
        <v>-</v>
      </c>
      <c r="O47" s="16" t="str">
        <f t="shared" si="139"/>
        <v>-</v>
      </c>
      <c r="P47" s="16"/>
      <c r="Q47" s="16" t="str">
        <f t="shared" si="140"/>
        <v>-</v>
      </c>
      <c r="R47" s="16" t="str">
        <f t="shared" si="141"/>
        <v>-</v>
      </c>
      <c r="S47" s="16"/>
      <c r="T47" s="16" t="str">
        <f t="shared" si="142"/>
        <v>-</v>
      </c>
      <c r="U47" s="16" t="str">
        <f t="shared" si="143"/>
        <v>-</v>
      </c>
      <c r="V47" s="17"/>
      <c r="W47" s="663"/>
      <c r="X47" s="24">
        <f ca="1">Horarios!C47</f>
        <v>46194</v>
      </c>
      <c r="Y47" s="25">
        <f ca="1">Horarios!C47</f>
        <v>46194</v>
      </c>
      <c r="Z47" s="26" t="str">
        <f>$Z$6</f>
        <v>R2</v>
      </c>
      <c r="AA47" s="27" t="str">
        <f ca="1">A48</f>
        <v>Tunisia</v>
      </c>
      <c r="AB47" s="49" t="str" cm="1">
        <f t="array" aca="1" ref="AB47" ca="1">Ver_flag_local</f>
        <v>🇹🇳</v>
      </c>
      <c r="AC47" s="50"/>
      <c r="AD47" s="51"/>
      <c r="AE47" s="595" t="str" cm="1">
        <f t="array" aca="1" ref="AE47" ca="1">Ver_flag_visit</f>
        <v>🇯🇵</v>
      </c>
      <c r="AF47" s="32" t="str">
        <f ca="1">A46</f>
        <v>Japan</v>
      </c>
      <c r="AG47" s="323">
        <f t="shared" si="144"/>
        <v>0</v>
      </c>
      <c r="AH47" s="195">
        <v>36</v>
      </c>
      <c r="AI47" s="181" t="str">
        <f t="shared" ref="AI47:AI49" si="148">AJ47&amp;$B$44</f>
        <v>2F</v>
      </c>
      <c r="AJ47" s="42">
        <v>2</v>
      </c>
      <c r="AK47" s="602" t="str" cm="1">
        <f t="array" aca="1" ref="AK47" ca="1">Ver_flag_visit</f>
        <v>🇯🇵</v>
      </c>
      <c r="AL47" s="37" t="str">
        <f ca="1">IFERROR(INDEX($BD$6:$BD$53,MATCH(AI47,$BN$6:$BN$53,0)),"")</f>
        <v>Japan</v>
      </c>
      <c r="AM47" s="38">
        <f t="shared" ca="1" si="147"/>
        <v>0</v>
      </c>
      <c r="AN47" s="39">
        <f t="shared" ca="1" si="147"/>
        <v>0</v>
      </c>
      <c r="AO47" s="39">
        <f t="shared" ca="1" si="147"/>
        <v>0</v>
      </c>
      <c r="AP47" s="39">
        <f t="shared" ca="1" si="147"/>
        <v>0</v>
      </c>
      <c r="AQ47" s="39">
        <f t="shared" ca="1" si="147"/>
        <v>0</v>
      </c>
      <c r="AR47" s="39">
        <f t="shared" ca="1" si="147"/>
        <v>0</v>
      </c>
      <c r="AS47" s="39">
        <f t="shared" ca="1" si="147"/>
        <v>0</v>
      </c>
      <c r="AT47" s="43">
        <f t="shared" ca="1" si="147"/>
        <v>0</v>
      </c>
      <c r="AU47" s="330">
        <f ca="1">INDEX($DL$6:$DL$53,MATCH(AI47,$DP$6:$DP$53,0))</f>
        <v>1</v>
      </c>
      <c r="AV47" s="182" t="str">
        <f ca="1">INDEX($BD$6:$BD$53,MATCH(AI47,$BM$6:$BM$53,0))</f>
        <v>Japan</v>
      </c>
      <c r="AW47" s="210"/>
      <c r="AX47" s="171"/>
      <c r="AY47" s="203" t="str">
        <f ca="1">+A46</f>
        <v>Japan</v>
      </c>
      <c r="AZ47" s="204"/>
      <c r="BA47" s="176"/>
      <c r="BC47" s="16" t="str">
        <f ca="1">+INDEX(T_Equipos[Grupo],MATCH(WORLDCUP!BD47,T_Equipos[NombreEquipo],0))</f>
        <v>K</v>
      </c>
      <c r="BD47" s="16" t="str">
        <f ca="1">+Equipos!B43</f>
        <v>DR Congo</v>
      </c>
      <c r="BE47" s="16">
        <f t="shared" ca="1" si="16"/>
        <v>0</v>
      </c>
      <c r="BF47" s="16">
        <f t="shared" ca="1" si="41"/>
        <v>0</v>
      </c>
      <c r="BG47" s="16">
        <f t="shared" ca="1" si="17"/>
        <v>0</v>
      </c>
      <c r="BH47" s="16">
        <f t="shared" ca="1" si="18"/>
        <v>0</v>
      </c>
      <c r="BI47" s="16">
        <f t="shared" ca="1" si="19"/>
        <v>0</v>
      </c>
      <c r="BJ47" s="16">
        <f t="shared" ca="1" si="20"/>
        <v>0</v>
      </c>
      <c r="BK47" s="16">
        <f t="shared" ca="1" si="21"/>
        <v>0</v>
      </c>
      <c r="BL47" s="16">
        <f t="shared" ca="1" si="42"/>
        <v>0</v>
      </c>
      <c r="BM47" s="16" t="str">
        <f t="shared" ca="1" si="22"/>
        <v>2K</v>
      </c>
      <c r="BN47" s="16" t="str">
        <f t="shared" ca="1" si="23"/>
        <v>2K</v>
      </c>
      <c r="BO47" s="16">
        <f t="shared" ca="1" si="43"/>
        <v>0</v>
      </c>
      <c r="BP47" s="16">
        <f ca="1">COUNTIFS($BO$6:$BO$53,"&gt;"&amp;BO47,$BC$6:$BC$53,INDEX(T_Equipos[Grupo],MATCH(BD47,T_Equipos[NombreEquipo],0)))+1</f>
        <v>1</v>
      </c>
      <c r="BQ47" s="16" t="str">
        <f ca="1">IF(COUNTIFS($BP$6:$BP$53,BP47,$BC$6:$BC$53,INDEX(T_Equipos[Grupo],MATCH(BD47,T_Equipos[NombreEquipo],0)))=1,"-","P."&amp;BP47&amp;" ("&amp;COUNTIFS($BP$6:$BP$53,BP47,$BC$6:$BC$53,INDEX(T_Equipos[Grupo],MATCH(BD47,T_Equipos[NombreEquipo],0)))&amp;")")</f>
        <v>P.1 (4)</v>
      </c>
      <c r="BR47" s="16">
        <f t="shared" ca="1" si="44"/>
        <v>0</v>
      </c>
      <c r="BS47" s="16">
        <f ca="1">BP47+COUNTIFS($BQ$6:$BQ$53,BQ47,$BR$6:BR$53,"&gt;"&amp;BR47,$BC$6:$BC$53,INDEX(T_Equipos[Grupo],MATCH(BD47,T_Equipos[NombreEquipo],0)))</f>
        <v>1</v>
      </c>
      <c r="BT47" s="16" t="str">
        <f ca="1">IF(COUNTIFS($BS$6:$BS$53,BS47,$BC$6:$BC$53,INDEX(T_Equipos[Grupo],MATCH(BD47,T_Equipos[NombreEquipo],0)))=1,"-","P."&amp;BS47&amp;" ("&amp;COUNTIFS($BS$6:$BS$53,BS47,$BC$6:$BC$53,INDEX(T_Equipos[Grupo],MATCH(BD47,T_Equipos[NombreEquipo],0)))&amp;")")</f>
        <v>P.1 (4)</v>
      </c>
      <c r="BU47" s="16">
        <f t="shared" ca="1" si="24"/>
        <v>0</v>
      </c>
      <c r="BV47" s="16">
        <f t="shared" ca="1" si="25"/>
        <v>0</v>
      </c>
      <c r="BW47" s="16">
        <f t="shared" ca="1" si="26"/>
        <v>0</v>
      </c>
      <c r="BX47" s="16">
        <f t="shared" ca="1" si="48"/>
        <v>0</v>
      </c>
      <c r="BY47" s="16">
        <f ca="1">BS47+COUNTIFS($BT$6:$BT$53,BT47,$BX$6:BX$53,"&gt;"&amp;BX47,$BC$6:$BC$53,INDEX(T_Equipos[Grupo],MATCH(BD47,T_Equipos[NombreEquipo],0)))</f>
        <v>1</v>
      </c>
      <c r="BZ47" s="16" t="str">
        <f ca="1">IF(COUNTIFS($BY$6:$BY$53,BY47,$BC$6:$BC$53,INDEX(T_Equipos[Grupo],MATCH(BD47,T_Equipos[NombreEquipo],0)))=1,"-","P."&amp;BY47&amp;" ("&amp;COUNTIFS($BY$6:$BY$53,BY47,$BC$6:$BC$53,INDEX(T_Equipos[Grupo],MATCH(BD47,T_Equipos[NombreEquipo],0)))&amp;")")</f>
        <v>P.1 (4)</v>
      </c>
      <c r="CA47" s="16">
        <f t="shared" ca="1" si="27"/>
        <v>0</v>
      </c>
      <c r="CB47" s="16">
        <f t="shared" ca="1" si="28"/>
        <v>0</v>
      </c>
      <c r="CC47" s="16">
        <f t="shared" ca="1" si="49"/>
        <v>0</v>
      </c>
      <c r="CD47" s="16">
        <f ca="1">BY47+COUNTIFS($BZ$6:$BZ$53,BZ47,$CC$6:CC$53,"&gt;"&amp;CC47,$BC$6:$BC$53,INDEX(T_Equipos[Grupo],MATCH(BD47,T_Equipos[NombreEquipo],0)))</f>
        <v>1</v>
      </c>
      <c r="CE47" s="16" t="str">
        <f ca="1">IF(COUNTIFS($CD$6:$CD$53,CD47,$BC$6:$BC$53,INDEX(T_Equipos[Grupo],MATCH(BD47,T_Equipos[NombreEquipo],0)))=1,"-","P."&amp;CD47&amp;" ("&amp;COUNTIFS($CD$6:$CD$53,CD47,$BC$6:$BC$53,INDEX(T_Equipos[Grupo],MATCH(BD47,T_Equipos[NombreEquipo],0)))&amp;")")</f>
        <v>P.1 (4)</v>
      </c>
      <c r="CF47" s="16">
        <f t="shared" ca="1" si="29"/>
        <v>0</v>
      </c>
      <c r="CG47" s="16">
        <f ca="1">CD47+COUNTIFS($CE$6:$CE$53,CE47,$CF$6:CF$53,"&gt;"&amp;CF47,$BC$6:$BC$53,INDEX(T_Equipos[Grupo],MATCH(BD47,T_Equipos[NombreEquipo],0)))</f>
        <v>1</v>
      </c>
      <c r="CH47" s="16" t="str">
        <f ca="1">IF(COUNTIFS($CG$6:$CG$53,CG47,$BC$6:$BC$53,INDEX(T_Equipos[Grupo],MATCH(BD47,T_Equipos[NombreEquipo],0)))=1,"-","P."&amp;CG47&amp;" ("&amp;COUNTIFS($CG$6:$CG$53,CG47,$BC$6:$BC$53,INDEX(T_Equipos[Grupo],MATCH(BD47,T_Equipos[NombreEquipo],0)))&amp;")")</f>
        <v>P.1 (4)</v>
      </c>
      <c r="CI47" s="16">
        <f t="shared" ca="1" si="30"/>
        <v>0</v>
      </c>
      <c r="CJ47" s="16">
        <f t="shared" ca="1" si="31"/>
        <v>0</v>
      </c>
      <c r="CK47" s="16">
        <f t="shared" ca="1" si="32"/>
        <v>0</v>
      </c>
      <c r="CL47" s="16">
        <f t="shared" ca="1" si="50"/>
        <v>0</v>
      </c>
      <c r="CM47" s="16">
        <f ca="1">CG47+COUNTIFS($CH$6:$CH$53,CH47,$CL$6:CL$53,"&gt;"&amp;CL47,$BC$6:$BC$53,INDEX(T_Equipos[Grupo],MATCH(BD47,T_Equipos[NombreEquipo],0)))</f>
        <v>1</v>
      </c>
      <c r="CN47" s="16" t="str">
        <f ca="1">IF(COUNTIFS($CM$6:$CM$53,CM47,$BC$6:$BC$53,INDEX(T_Equipos[Grupo],MATCH(BD47,T_Equipos[NombreEquipo],0)))=1,"-","P."&amp;CM47&amp;" ("&amp;COUNTIFS($CM$6:$CM$53,CM47,$BC$6:$BC$53,INDEX(T_Equipos[Grupo],MATCH(BD47,T_Equipos[NombreEquipo],0)))&amp;")")</f>
        <v>P.1 (4)</v>
      </c>
      <c r="CO47" s="16">
        <f t="shared" ca="1" si="33"/>
        <v>0</v>
      </c>
      <c r="CP47" s="16">
        <f t="shared" ca="1" si="34"/>
        <v>0</v>
      </c>
      <c r="CQ47" s="16">
        <f t="shared" ca="1" si="51"/>
        <v>0</v>
      </c>
      <c r="CR47" s="16">
        <f ca="1">CM47+COUNTIFS($CN$6:$CN$53,CN47,$CQ$6:CQ$53,"&gt;"&amp;CQ47,$BC$6:$BC$53,INDEX(T_Equipos[Grupo],MATCH(BD47,T_Equipos[NombreEquipo],0)))</f>
        <v>1</v>
      </c>
      <c r="CS47" s="16" t="str">
        <f ca="1">IF(COUNTIFS($CR$6:$CR$53,CR47,$BC$6:$BC$53,INDEX(T_Equipos[Grupo],MATCH(BD47,T_Equipos[NombreEquipo],0)))=1,"-","P."&amp;CR47&amp;" ("&amp;COUNTIFS($CR$6:$CR$53,CR47,$BC$6:$BC$53,INDEX(T_Equipos[Grupo],MATCH(BD47,T_Equipos[NombreEquipo],0)))&amp;")")</f>
        <v>P.1 (4)</v>
      </c>
      <c r="CT47" s="16">
        <f t="shared" ca="1" si="35"/>
        <v>0</v>
      </c>
      <c r="CU47" s="16">
        <f ca="1">CR47+COUNTIFS($CS$6:$CS$53,CS47,$CT$6:CT$53,"&gt;"&amp;CT47,$BC$6:$BC$53,INDEX(T_Equipos[Grupo],MATCH(BD47,T_Equipos[NombreEquipo],0)))</f>
        <v>1</v>
      </c>
      <c r="CV47" s="16" t="str">
        <f ca="1">IF(COUNTIFS($CU$6:$CU$53,CU47,$BC$6:$BC$53,INDEX(T_Equipos[Grupo],MATCH(BD47,T_Equipos[NombreEquipo],0)))=1,"-","P."&amp;CU47&amp;" ("&amp;COUNTIFS($CU$6:$CU$53,CU47,$BC$6:$BC$53,INDEX(T_Equipos[Grupo],MATCH(BD47,T_Equipos[NombreEquipo],0)))&amp;")")</f>
        <v>P.1 (4)</v>
      </c>
      <c r="CW47" s="16">
        <f t="shared" ca="1" si="36"/>
        <v>0</v>
      </c>
      <c r="CX47" s="16">
        <f ca="1">CU47+COUNTIFS($CV$6:$CV$53,CV47,$CW$6:CW$53,"&gt;"&amp;CW47,$BC$6:$BC$53,INDEX(T_Equipos[Grupo],MATCH(BD47,T_Equipos[NombreEquipo],0)))</f>
        <v>1</v>
      </c>
      <c r="CY47" s="16" t="str">
        <f ca="1">IF(COUNTIFS($CX$6:$CX$53,CX47,$BC$6:$BC$53,INDEX(T_Equipos[Grupo],MATCH(BD47,T_Equipos[NombreEquipo],0)))=1,"-","P."&amp;CX47&amp;" ("&amp;COUNTIFS($CX$6:$CX$53,CX47,$BC$6:$BC$53,INDEX(T_Equipos[Grupo],MATCH(BD47,T_Equipos[NombreEquipo],0)))&amp;")")</f>
        <v>P.1 (4)</v>
      </c>
      <c r="CZ47" s="16">
        <f t="shared" ca="1" si="37"/>
        <v>0</v>
      </c>
      <c r="DA47" s="16">
        <f ca="1">CX47+COUNTIFS($CY$6:$CY$53,CY47,$CZ$6:CZ$53,"&gt;"&amp;CZ47,$BC$6:$BC$53,INDEX(T_Equipos[Grupo],MATCH(BD47,T_Equipos[NombreEquipo],0)))</f>
        <v>1</v>
      </c>
      <c r="DB47" s="16" t="str">
        <f ca="1">IF(COUNTIFS($DA$6:$DA$53,DA47,$BC$6:$BC$53,INDEX(T_Equipos[Grupo],MATCH(BD47,T_Equipos[NombreEquipo],0)))=1,"-","P."&amp;DA47&amp;" ("&amp;COUNTIFS($DA$6:$DA$53,DA47,$BC$6:$BC$53,INDEX(T_Equipos[Grupo],MATCH(BD47,T_Equipos[NombreEquipo],0)))&amp;")")</f>
        <v>P.1 (4)</v>
      </c>
      <c r="DC47" s="16">
        <f ca="1">IF(DB47="-","-",COUNTIFS(T_Equipos[Rank],"&lt;"&amp;INDEX(T_Equipos[Rank],MATCH(BD47,T_Equipos[NombreEquipo],0)),$BC$6:$BC$53,INDEX(T_Equipos[Grupo],MATCH(BD47,T_Equipos[NombreEquipo],0)))+1)</f>
        <v>2</v>
      </c>
      <c r="DD47" s="16">
        <f ca="1">DA47+COUNTIFS($DB$6:$DB$53,DB47,$DC$6:DC$53,"&lt;"&amp;DC47,$BC$6:$BC$53,INDEX(T_Equipos[Grupo],MATCH(BD47,T_Equipos[NombreEquipo],0)))</f>
        <v>2</v>
      </c>
      <c r="DE47" s="16"/>
      <c r="DF47" s="16">
        <f t="shared" ca="1" si="52"/>
        <v>2</v>
      </c>
      <c r="DG47" s="16">
        <f ca="1">IF(DB47="-","-",COUNTIFS(DF$6:DF$53,"&lt;"&amp;DF47,$BC$6:$BC$53,INDEX(T_Equipos[Grupo],MATCH(BD47,T_Equipos[NombreEquipo],0))))</f>
        <v>1</v>
      </c>
      <c r="DH47" s="16">
        <f ca="1">DA47+COUNTIFS(DB$6:DB$53,DB47,DG$6:DG$53,"&lt;"&amp;DG47,$BC$6:$BC$53,INDEX(T_Equipos[Grupo],MATCH(BD47,T_Equipos[NombreEquipo],0)))</f>
        <v>2</v>
      </c>
      <c r="DI47" s="16"/>
      <c r="DJ47" s="16">
        <f t="shared" ca="1" si="38"/>
        <v>1</v>
      </c>
      <c r="DK47" s="16">
        <f t="shared" ca="1" si="39"/>
        <v>0</v>
      </c>
      <c r="DL47" s="16">
        <f t="shared" ca="1" si="40"/>
        <v>1</v>
      </c>
      <c r="DM47" s="16" t="str">
        <f t="shared" ca="1" si="46"/>
        <v>1.1</v>
      </c>
      <c r="DN47" s="16" cm="1">
        <f t="array" aca="1" ref="DN47" ca="1">OFFSET(Horarios!$P$3,DJ47-1,0,DL47,1)</f>
        <v>1</v>
      </c>
      <c r="DO47" s="16"/>
      <c r="DP47" s="16" t="s">
        <v>691</v>
      </c>
      <c r="DQ47" s="16" t="str">
        <f t="shared" ca="1" si="47"/>
        <v>DR Congo</v>
      </c>
    </row>
    <row r="48" spans="1:121" ht="16" customHeight="1" x14ac:dyDescent="0.2">
      <c r="A48" s="16" t="str">
        <f ca="1">+Equipos!B25</f>
        <v>Tunisia</v>
      </c>
      <c r="B48" s="16"/>
      <c r="C48" s="16"/>
      <c r="D48" s="16" t="str">
        <f t="shared" si="131"/>
        <v>Pendiente</v>
      </c>
      <c r="E48" s="16" t="str">
        <f t="shared" si="132"/>
        <v>-</v>
      </c>
      <c r="F48" s="16" t="str">
        <f t="shared" si="133"/>
        <v>-</v>
      </c>
      <c r="G48" s="16"/>
      <c r="H48" s="16" t="str">
        <f t="shared" si="134"/>
        <v>-</v>
      </c>
      <c r="I48" s="16" t="str">
        <f t="shared" si="135"/>
        <v>-</v>
      </c>
      <c r="J48" s="16"/>
      <c r="K48" s="16" t="str">
        <f t="shared" si="136"/>
        <v>-</v>
      </c>
      <c r="L48" s="16" t="str">
        <f t="shared" si="137"/>
        <v>-</v>
      </c>
      <c r="M48" s="16"/>
      <c r="N48" s="16" t="str">
        <f t="shared" si="138"/>
        <v>-</v>
      </c>
      <c r="O48" s="16" t="str">
        <f t="shared" si="139"/>
        <v>-</v>
      </c>
      <c r="P48" s="16"/>
      <c r="Q48" s="16" t="str">
        <f t="shared" si="140"/>
        <v>-</v>
      </c>
      <c r="R48" s="16" t="str">
        <f t="shared" si="141"/>
        <v>-</v>
      </c>
      <c r="S48" s="16"/>
      <c r="T48" s="16" t="str">
        <f t="shared" si="142"/>
        <v>-</v>
      </c>
      <c r="U48" s="16" t="str">
        <f t="shared" si="143"/>
        <v>-</v>
      </c>
      <c r="V48" s="17"/>
      <c r="W48" s="663"/>
      <c r="X48" s="24">
        <f ca="1">Horarios!C48</f>
        <v>46198.791666666664</v>
      </c>
      <c r="Y48" s="25">
        <f ca="1">Horarios!C48</f>
        <v>46198.791666666664</v>
      </c>
      <c r="Z48" s="26" t="str">
        <f>$Z$8</f>
        <v>R3</v>
      </c>
      <c r="AA48" s="27" t="str">
        <f ca="1">A46</f>
        <v>Japan</v>
      </c>
      <c r="AB48" s="49" t="str" cm="1">
        <f t="array" aca="1" ref="AB48" ca="1">Ver_flag_local</f>
        <v>🇯🇵</v>
      </c>
      <c r="AC48" s="50"/>
      <c r="AD48" s="51"/>
      <c r="AE48" s="595" t="str" cm="1">
        <f t="array" aca="1" ref="AE48" ca="1">Ver_flag_visit</f>
        <v>🇸🇪</v>
      </c>
      <c r="AF48" s="32" t="str">
        <f ca="1">A47</f>
        <v>Sweden</v>
      </c>
      <c r="AG48" s="323">
        <f t="shared" si="144"/>
        <v>0</v>
      </c>
      <c r="AH48" s="195">
        <v>57</v>
      </c>
      <c r="AI48" s="181" t="str">
        <f t="shared" si="148"/>
        <v>3F</v>
      </c>
      <c r="AJ48" s="42">
        <v>3</v>
      </c>
      <c r="AK48" s="602" t="str" cm="1">
        <f t="array" aca="1" ref="AK48" ca="1">Ver_flag_visit</f>
        <v>🇸🇪</v>
      </c>
      <c r="AL48" s="37" t="str">
        <f ca="1">IFERROR(INDEX($BD$6:$BD$53,MATCH(AI48,$BN$6:$BN$53,0)),"")</f>
        <v>Sweden</v>
      </c>
      <c r="AM48" s="38">
        <f t="shared" ca="1" si="147"/>
        <v>0</v>
      </c>
      <c r="AN48" s="39">
        <f t="shared" ca="1" si="147"/>
        <v>0</v>
      </c>
      <c r="AO48" s="39">
        <f t="shared" ca="1" si="147"/>
        <v>0</v>
      </c>
      <c r="AP48" s="39">
        <f t="shared" ca="1" si="147"/>
        <v>0</v>
      </c>
      <c r="AQ48" s="39">
        <f t="shared" ca="1" si="147"/>
        <v>0</v>
      </c>
      <c r="AR48" s="39">
        <f t="shared" ca="1" si="147"/>
        <v>0</v>
      </c>
      <c r="AS48" s="39">
        <f t="shared" ca="1" si="147"/>
        <v>0</v>
      </c>
      <c r="AT48" s="43">
        <f t="shared" ca="1" si="147"/>
        <v>0</v>
      </c>
      <c r="AU48" s="330">
        <f ca="1">INDEX($DL$6:$DL$53,MATCH(AI48,$DP$6:$DP$53,0))</f>
        <v>1</v>
      </c>
      <c r="AV48" s="182" t="str">
        <f ca="1">INDEX($BD$6:$BD$53,MATCH(AI48,$BM$6:$BM$53,0))</f>
        <v>Sweden</v>
      </c>
      <c r="AW48" s="210"/>
      <c r="AX48" s="171"/>
      <c r="AY48" s="201" t="str">
        <f ca="1">+A47</f>
        <v>Sweden</v>
      </c>
      <c r="AZ48" s="202"/>
      <c r="BA48" s="176"/>
      <c r="BC48" s="16" t="str">
        <f ca="1">+INDEX(T_Equipos[Grupo],MATCH(WORLDCUP!BD48,T_Equipos[NombreEquipo],0))</f>
        <v>K</v>
      </c>
      <c r="BD48" s="16" t="str">
        <f ca="1">+Equipos!B44</f>
        <v>Uzbekistan</v>
      </c>
      <c r="BE48" s="16">
        <f t="shared" ca="1" si="16"/>
        <v>0</v>
      </c>
      <c r="BF48" s="16">
        <f t="shared" ca="1" si="41"/>
        <v>0</v>
      </c>
      <c r="BG48" s="16">
        <f t="shared" ca="1" si="17"/>
        <v>0</v>
      </c>
      <c r="BH48" s="16">
        <f t="shared" ca="1" si="18"/>
        <v>0</v>
      </c>
      <c r="BI48" s="16">
        <f t="shared" ca="1" si="19"/>
        <v>0</v>
      </c>
      <c r="BJ48" s="16">
        <f t="shared" ca="1" si="20"/>
        <v>0</v>
      </c>
      <c r="BK48" s="16">
        <f t="shared" ca="1" si="21"/>
        <v>0</v>
      </c>
      <c r="BL48" s="16">
        <f t="shared" ca="1" si="42"/>
        <v>0</v>
      </c>
      <c r="BM48" s="16" t="str">
        <f t="shared" ca="1" si="22"/>
        <v>3K</v>
      </c>
      <c r="BN48" s="16" t="str">
        <f t="shared" ca="1" si="23"/>
        <v>3K</v>
      </c>
      <c r="BO48" s="16">
        <f t="shared" ca="1" si="43"/>
        <v>0</v>
      </c>
      <c r="BP48" s="16">
        <f ca="1">COUNTIFS($BO$6:$BO$53,"&gt;"&amp;BO48,$BC$6:$BC$53,INDEX(T_Equipos[Grupo],MATCH(BD48,T_Equipos[NombreEquipo],0)))+1</f>
        <v>1</v>
      </c>
      <c r="BQ48" s="16" t="str">
        <f ca="1">IF(COUNTIFS($BP$6:$BP$53,BP48,$BC$6:$BC$53,INDEX(T_Equipos[Grupo],MATCH(BD48,T_Equipos[NombreEquipo],0)))=1,"-","P."&amp;BP48&amp;" ("&amp;COUNTIFS($BP$6:$BP$53,BP48,$BC$6:$BC$53,INDEX(T_Equipos[Grupo],MATCH(BD48,T_Equipos[NombreEquipo],0)))&amp;")")</f>
        <v>P.1 (4)</v>
      </c>
      <c r="BR48" s="16">
        <f t="shared" ca="1" si="44"/>
        <v>0</v>
      </c>
      <c r="BS48" s="16">
        <f ca="1">BP48+COUNTIFS($BQ$6:$BQ$53,BQ48,$BR$6:BR$53,"&gt;"&amp;BR48,$BC$6:$BC$53,INDEX(T_Equipos[Grupo],MATCH(BD48,T_Equipos[NombreEquipo],0)))</f>
        <v>1</v>
      </c>
      <c r="BT48" s="16" t="str">
        <f ca="1">IF(COUNTIFS($BS$6:$BS$53,BS48,$BC$6:$BC$53,INDEX(T_Equipos[Grupo],MATCH(BD48,T_Equipos[NombreEquipo],0)))=1,"-","P."&amp;BS48&amp;" ("&amp;COUNTIFS($BS$6:$BS$53,BS48,$BC$6:$BC$53,INDEX(T_Equipos[Grupo],MATCH(BD48,T_Equipos[NombreEquipo],0)))&amp;")")</f>
        <v>P.1 (4)</v>
      </c>
      <c r="BU48" s="16">
        <f t="shared" ca="1" si="24"/>
        <v>0</v>
      </c>
      <c r="BV48" s="16">
        <f t="shared" ca="1" si="25"/>
        <v>0</v>
      </c>
      <c r="BW48" s="16">
        <f t="shared" ca="1" si="26"/>
        <v>0</v>
      </c>
      <c r="BX48" s="16">
        <f t="shared" ca="1" si="48"/>
        <v>0</v>
      </c>
      <c r="BY48" s="16">
        <f ca="1">BS48+COUNTIFS($BT$6:$BT$53,BT48,$BX$6:BX$53,"&gt;"&amp;BX48,$BC$6:$BC$53,INDEX(T_Equipos[Grupo],MATCH(BD48,T_Equipos[NombreEquipo],0)))</f>
        <v>1</v>
      </c>
      <c r="BZ48" s="16" t="str">
        <f ca="1">IF(COUNTIFS($BY$6:$BY$53,BY48,$BC$6:$BC$53,INDEX(T_Equipos[Grupo],MATCH(BD48,T_Equipos[NombreEquipo],0)))=1,"-","P."&amp;BY48&amp;" ("&amp;COUNTIFS($BY$6:$BY$53,BY48,$BC$6:$BC$53,INDEX(T_Equipos[Grupo],MATCH(BD48,T_Equipos[NombreEquipo],0)))&amp;")")</f>
        <v>P.1 (4)</v>
      </c>
      <c r="CA48" s="16">
        <f t="shared" ca="1" si="27"/>
        <v>0</v>
      </c>
      <c r="CB48" s="16">
        <f t="shared" ca="1" si="28"/>
        <v>0</v>
      </c>
      <c r="CC48" s="16">
        <f t="shared" ca="1" si="49"/>
        <v>0</v>
      </c>
      <c r="CD48" s="16">
        <f ca="1">BY48+COUNTIFS($BZ$6:$BZ$53,BZ48,$CC$6:CC$53,"&gt;"&amp;CC48,$BC$6:$BC$53,INDEX(T_Equipos[Grupo],MATCH(BD48,T_Equipos[NombreEquipo],0)))</f>
        <v>1</v>
      </c>
      <c r="CE48" s="16" t="str">
        <f ca="1">IF(COUNTIFS($CD$6:$CD$53,CD48,$BC$6:$BC$53,INDEX(T_Equipos[Grupo],MATCH(BD48,T_Equipos[NombreEquipo],0)))=1,"-","P."&amp;CD48&amp;" ("&amp;COUNTIFS($CD$6:$CD$53,CD48,$BC$6:$BC$53,INDEX(T_Equipos[Grupo],MATCH(BD48,T_Equipos[NombreEquipo],0)))&amp;")")</f>
        <v>P.1 (4)</v>
      </c>
      <c r="CF48" s="16">
        <f t="shared" ca="1" si="29"/>
        <v>0</v>
      </c>
      <c r="CG48" s="16">
        <f ca="1">CD48+COUNTIFS($CE$6:$CE$53,CE48,$CF$6:CF$53,"&gt;"&amp;CF48,$BC$6:$BC$53,INDEX(T_Equipos[Grupo],MATCH(BD48,T_Equipos[NombreEquipo],0)))</f>
        <v>1</v>
      </c>
      <c r="CH48" s="16" t="str">
        <f ca="1">IF(COUNTIFS($CG$6:$CG$53,CG48,$BC$6:$BC$53,INDEX(T_Equipos[Grupo],MATCH(BD48,T_Equipos[NombreEquipo],0)))=1,"-","P."&amp;CG48&amp;" ("&amp;COUNTIFS($CG$6:$CG$53,CG48,$BC$6:$BC$53,INDEX(T_Equipos[Grupo],MATCH(BD48,T_Equipos[NombreEquipo],0)))&amp;")")</f>
        <v>P.1 (4)</v>
      </c>
      <c r="CI48" s="16">
        <f t="shared" ca="1" si="30"/>
        <v>0</v>
      </c>
      <c r="CJ48" s="16">
        <f t="shared" ca="1" si="31"/>
        <v>0</v>
      </c>
      <c r="CK48" s="16">
        <f t="shared" ca="1" si="32"/>
        <v>0</v>
      </c>
      <c r="CL48" s="16">
        <f t="shared" ca="1" si="50"/>
        <v>0</v>
      </c>
      <c r="CM48" s="16">
        <f ca="1">CG48+COUNTIFS($CH$6:$CH$53,CH48,$CL$6:CL$53,"&gt;"&amp;CL48,$BC$6:$BC$53,INDEX(T_Equipos[Grupo],MATCH(BD48,T_Equipos[NombreEquipo],0)))</f>
        <v>1</v>
      </c>
      <c r="CN48" s="16" t="str">
        <f ca="1">IF(COUNTIFS($CM$6:$CM$53,CM48,$BC$6:$BC$53,INDEX(T_Equipos[Grupo],MATCH(BD48,T_Equipos[NombreEquipo],0)))=1,"-","P."&amp;CM48&amp;" ("&amp;COUNTIFS($CM$6:$CM$53,CM48,$BC$6:$BC$53,INDEX(T_Equipos[Grupo],MATCH(BD48,T_Equipos[NombreEquipo],0)))&amp;")")</f>
        <v>P.1 (4)</v>
      </c>
      <c r="CO48" s="16">
        <f t="shared" ca="1" si="33"/>
        <v>0</v>
      </c>
      <c r="CP48" s="16">
        <f t="shared" ca="1" si="34"/>
        <v>0</v>
      </c>
      <c r="CQ48" s="16">
        <f t="shared" ca="1" si="51"/>
        <v>0</v>
      </c>
      <c r="CR48" s="16">
        <f ca="1">CM48+COUNTIFS($CN$6:$CN$53,CN48,$CQ$6:CQ$53,"&gt;"&amp;CQ48,$BC$6:$BC$53,INDEX(T_Equipos[Grupo],MATCH(BD48,T_Equipos[NombreEquipo],0)))</f>
        <v>1</v>
      </c>
      <c r="CS48" s="16" t="str">
        <f ca="1">IF(COUNTIFS($CR$6:$CR$53,CR48,$BC$6:$BC$53,INDEX(T_Equipos[Grupo],MATCH(BD48,T_Equipos[NombreEquipo],0)))=1,"-","P."&amp;CR48&amp;" ("&amp;COUNTIFS($CR$6:$CR$53,CR48,$BC$6:$BC$53,INDEX(T_Equipos[Grupo],MATCH(BD48,T_Equipos[NombreEquipo],0)))&amp;")")</f>
        <v>P.1 (4)</v>
      </c>
      <c r="CT48" s="16">
        <f t="shared" ca="1" si="35"/>
        <v>0</v>
      </c>
      <c r="CU48" s="16">
        <f ca="1">CR48+COUNTIFS($CS$6:$CS$53,CS48,$CT$6:CT$53,"&gt;"&amp;CT48,$BC$6:$BC$53,INDEX(T_Equipos[Grupo],MATCH(BD48,T_Equipos[NombreEquipo],0)))</f>
        <v>1</v>
      </c>
      <c r="CV48" s="16" t="str">
        <f ca="1">IF(COUNTIFS($CU$6:$CU$53,CU48,$BC$6:$BC$53,INDEX(T_Equipos[Grupo],MATCH(BD48,T_Equipos[NombreEquipo],0)))=1,"-","P."&amp;CU48&amp;" ("&amp;COUNTIFS($CU$6:$CU$53,CU48,$BC$6:$BC$53,INDEX(T_Equipos[Grupo],MATCH(BD48,T_Equipos[NombreEquipo],0)))&amp;")")</f>
        <v>P.1 (4)</v>
      </c>
      <c r="CW48" s="16">
        <f t="shared" ca="1" si="36"/>
        <v>0</v>
      </c>
      <c r="CX48" s="16">
        <f ca="1">CU48+COUNTIFS($CV$6:$CV$53,CV48,$CW$6:CW$53,"&gt;"&amp;CW48,$BC$6:$BC$53,INDEX(T_Equipos[Grupo],MATCH(BD48,T_Equipos[NombreEquipo],0)))</f>
        <v>1</v>
      </c>
      <c r="CY48" s="16" t="str">
        <f ca="1">IF(COUNTIFS($CX$6:$CX$53,CX48,$BC$6:$BC$53,INDEX(T_Equipos[Grupo],MATCH(BD48,T_Equipos[NombreEquipo],0)))=1,"-","P."&amp;CX48&amp;" ("&amp;COUNTIFS($CX$6:$CX$53,CX48,$BC$6:$BC$53,INDEX(T_Equipos[Grupo],MATCH(BD48,T_Equipos[NombreEquipo],0)))&amp;")")</f>
        <v>P.1 (4)</v>
      </c>
      <c r="CZ48" s="16">
        <f t="shared" ca="1" si="37"/>
        <v>0</v>
      </c>
      <c r="DA48" s="16">
        <f ca="1">CX48+COUNTIFS($CY$6:$CY$53,CY48,$CZ$6:CZ$53,"&gt;"&amp;CZ48,$BC$6:$BC$53,INDEX(T_Equipos[Grupo],MATCH(BD48,T_Equipos[NombreEquipo],0)))</f>
        <v>1</v>
      </c>
      <c r="DB48" s="16" t="str">
        <f ca="1">IF(COUNTIFS($DA$6:$DA$53,DA48,$BC$6:$BC$53,INDEX(T_Equipos[Grupo],MATCH(BD48,T_Equipos[NombreEquipo],0)))=1,"-","P."&amp;DA48&amp;" ("&amp;COUNTIFS($DA$6:$DA$53,DA48,$BC$6:$BC$53,INDEX(T_Equipos[Grupo],MATCH(BD48,T_Equipos[NombreEquipo],0)))&amp;")")</f>
        <v>P.1 (4)</v>
      </c>
      <c r="DC48" s="16">
        <f ca="1">IF(DB48="-","-",COUNTIFS(T_Equipos[Rank],"&lt;"&amp;INDEX(T_Equipos[Rank],MATCH(BD48,T_Equipos[NombreEquipo],0)),$BC$6:$BC$53,INDEX(T_Equipos[Grupo],MATCH(BD48,T_Equipos[NombreEquipo],0)))+1)</f>
        <v>3</v>
      </c>
      <c r="DD48" s="16">
        <f ca="1">DA48+COUNTIFS($DB$6:$DB$53,DB48,$DC$6:DC$53,"&lt;"&amp;DC48,$BC$6:$BC$53,INDEX(T_Equipos[Grupo],MATCH(BD48,T_Equipos[NombreEquipo],0)))</f>
        <v>3</v>
      </c>
      <c r="DE48" s="16"/>
      <c r="DF48" s="16">
        <f t="shared" ca="1" si="52"/>
        <v>3</v>
      </c>
      <c r="DG48" s="16">
        <f ca="1">IF(DB48="-","-",COUNTIFS(DF$6:DF$53,"&lt;"&amp;DF48,$BC$6:$BC$53,INDEX(T_Equipos[Grupo],MATCH(BD48,T_Equipos[NombreEquipo],0))))</f>
        <v>2</v>
      </c>
      <c r="DH48" s="16">
        <f ca="1">DA48+COUNTIFS(DB$6:DB$53,DB48,DG$6:DG$53,"&lt;"&amp;DG48,$BC$6:$BC$53,INDEX(T_Equipos[Grupo],MATCH(BD48,T_Equipos[NombreEquipo],0)))</f>
        <v>3</v>
      </c>
      <c r="DI48" s="16"/>
      <c r="DJ48" s="16">
        <f t="shared" ca="1" si="38"/>
        <v>1</v>
      </c>
      <c r="DK48" s="16">
        <f t="shared" ca="1" si="39"/>
        <v>0</v>
      </c>
      <c r="DL48" s="16">
        <f t="shared" ca="1" si="40"/>
        <v>1</v>
      </c>
      <c r="DM48" s="16" t="str">
        <f t="shared" ca="1" si="46"/>
        <v>1.1</v>
      </c>
      <c r="DN48" s="16" cm="1">
        <f t="array" aca="1" ref="DN48" ca="1">OFFSET(Horarios!$P$3,DJ48-1,0,DL48,1)</f>
        <v>1</v>
      </c>
      <c r="DO48" s="16"/>
      <c r="DP48" s="16" t="s">
        <v>452</v>
      </c>
      <c r="DQ48" s="16" t="str">
        <f t="shared" ca="1" si="47"/>
        <v>Uzbekistan</v>
      </c>
    </row>
    <row r="49" spans="1:121" ht="16" customHeight="1" thickBot="1" x14ac:dyDescent="0.25">
      <c r="A49" s="16"/>
      <c r="B49" s="16"/>
      <c r="C49" s="16"/>
      <c r="D49" s="16" t="str">
        <f t="shared" si="131"/>
        <v>Pendiente</v>
      </c>
      <c r="E49" s="16" t="str">
        <f t="shared" si="132"/>
        <v>-</v>
      </c>
      <c r="F49" s="16" t="str">
        <f t="shared" si="133"/>
        <v>-</v>
      </c>
      <c r="G49" s="16"/>
      <c r="H49" s="16" t="str">
        <f t="shared" si="134"/>
        <v>-</v>
      </c>
      <c r="I49" s="16" t="str">
        <f t="shared" si="135"/>
        <v>-</v>
      </c>
      <c r="J49" s="16"/>
      <c r="K49" s="16" t="str">
        <f t="shared" si="136"/>
        <v>-</v>
      </c>
      <c r="L49" s="16" t="str">
        <f t="shared" si="137"/>
        <v>-</v>
      </c>
      <c r="M49" s="16"/>
      <c r="N49" s="16" t="str">
        <f t="shared" si="138"/>
        <v>-</v>
      </c>
      <c r="O49" s="16" t="str">
        <f t="shared" si="139"/>
        <v>-</v>
      </c>
      <c r="P49" s="16"/>
      <c r="Q49" s="16" t="str">
        <f t="shared" si="140"/>
        <v>-</v>
      </c>
      <c r="R49" s="16" t="str">
        <f t="shared" si="141"/>
        <v>-</v>
      </c>
      <c r="S49" s="16"/>
      <c r="T49" s="16" t="str">
        <f t="shared" si="142"/>
        <v>-</v>
      </c>
      <c r="U49" s="16" t="str">
        <f t="shared" si="143"/>
        <v>-</v>
      </c>
      <c r="V49" s="17"/>
      <c r="W49" s="664"/>
      <c r="X49" s="28">
        <f ca="1">Horarios!C49</f>
        <v>46198.791666666664</v>
      </c>
      <c r="Y49" s="29">
        <f ca="1">Horarios!C49</f>
        <v>46198.791666666664</v>
      </c>
      <c r="Z49" s="30" t="str">
        <f>$Z$8</f>
        <v>R3</v>
      </c>
      <c r="AA49" s="31" t="str">
        <f ca="1">A48</f>
        <v>Tunisia</v>
      </c>
      <c r="AB49" s="52" t="str" cm="1">
        <f t="array" aca="1" ref="AB49" ca="1">Ver_flag_local</f>
        <v>🇹🇳</v>
      </c>
      <c r="AC49" s="53"/>
      <c r="AD49" s="54"/>
      <c r="AE49" s="596" t="str" cm="1">
        <f t="array" aca="1" ref="AE49" ca="1">Ver_flag_visit</f>
        <v>🇳🇱</v>
      </c>
      <c r="AF49" s="33" t="str">
        <f ca="1">A45</f>
        <v>Netherlands</v>
      </c>
      <c r="AG49" s="323">
        <f t="shared" si="144"/>
        <v>0</v>
      </c>
      <c r="AH49" s="195">
        <v>58</v>
      </c>
      <c r="AI49" s="181" t="str">
        <f t="shared" si="148"/>
        <v>4F</v>
      </c>
      <c r="AJ49" s="44">
        <v>4</v>
      </c>
      <c r="AK49" s="604" t="str" cm="1">
        <f t="array" aca="1" ref="AK49" ca="1">Ver_flag_visit</f>
        <v>🇹🇳</v>
      </c>
      <c r="AL49" s="45" t="str">
        <f ca="1">IFERROR(INDEX($BD$6:$BD$53,MATCH(AI49,$BN$6:$BN$53,0)),"")</f>
        <v>Tunisia</v>
      </c>
      <c r="AM49" s="46">
        <f t="shared" ca="1" si="147"/>
        <v>0</v>
      </c>
      <c r="AN49" s="47">
        <f t="shared" ca="1" si="147"/>
        <v>0</v>
      </c>
      <c r="AO49" s="47">
        <f t="shared" ca="1" si="147"/>
        <v>0</v>
      </c>
      <c r="AP49" s="47">
        <f t="shared" ca="1" si="147"/>
        <v>0</v>
      </c>
      <c r="AQ49" s="47">
        <f t="shared" ca="1" si="147"/>
        <v>0</v>
      </c>
      <c r="AR49" s="47">
        <f t="shared" ca="1" si="147"/>
        <v>0</v>
      </c>
      <c r="AS49" s="47">
        <f t="shared" ca="1" si="147"/>
        <v>0</v>
      </c>
      <c r="AT49" s="48">
        <f t="shared" ca="1" si="147"/>
        <v>0</v>
      </c>
      <c r="AU49" s="330">
        <f ca="1">INDEX($DL$6:$DL$53,MATCH(AI49,$DP$6:$DP$53,0))</f>
        <v>1</v>
      </c>
      <c r="AV49" s="182" t="str">
        <f ca="1">INDEX($BD$6:$BD$53,MATCH(AI49,$BM$6:$BM$53,0))</f>
        <v>Tunisia</v>
      </c>
      <c r="AW49" s="210"/>
      <c r="AX49" s="171"/>
      <c r="AY49" s="205" t="str">
        <f ca="1">+A48</f>
        <v>Tunisia</v>
      </c>
      <c r="AZ49" s="206"/>
      <c r="BA49" s="176"/>
      <c r="BC49" s="16" t="str">
        <f ca="1">+INDEX(T_Equipos[Grupo],MATCH(WORLDCUP!BD49,T_Equipos[NombreEquipo],0))</f>
        <v>K</v>
      </c>
      <c r="BD49" s="16" t="str">
        <f ca="1">+Equipos!B45</f>
        <v>Colombia</v>
      </c>
      <c r="BE49" s="16">
        <f t="shared" ca="1" si="16"/>
        <v>0</v>
      </c>
      <c r="BF49" s="16">
        <f t="shared" ca="1" si="41"/>
        <v>0</v>
      </c>
      <c r="BG49" s="16">
        <f t="shared" ca="1" si="17"/>
        <v>0</v>
      </c>
      <c r="BH49" s="16">
        <f t="shared" ca="1" si="18"/>
        <v>0</v>
      </c>
      <c r="BI49" s="16">
        <f t="shared" ca="1" si="19"/>
        <v>0</v>
      </c>
      <c r="BJ49" s="16">
        <f t="shared" ca="1" si="20"/>
        <v>0</v>
      </c>
      <c r="BK49" s="16">
        <f t="shared" ca="1" si="21"/>
        <v>0</v>
      </c>
      <c r="BL49" s="16">
        <f t="shared" ca="1" si="42"/>
        <v>0</v>
      </c>
      <c r="BM49" s="16" t="str">
        <f t="shared" ca="1" si="22"/>
        <v>4K</v>
      </c>
      <c r="BN49" s="16" t="str">
        <f t="shared" ca="1" si="23"/>
        <v>4K</v>
      </c>
      <c r="BO49" s="16">
        <f t="shared" ca="1" si="43"/>
        <v>0</v>
      </c>
      <c r="BP49" s="16">
        <f ca="1">COUNTIFS($BO$6:$BO$53,"&gt;"&amp;BO49,$BC$6:$BC$53,INDEX(T_Equipos[Grupo],MATCH(BD49,T_Equipos[NombreEquipo],0)))+1</f>
        <v>1</v>
      </c>
      <c r="BQ49" s="16" t="str">
        <f ca="1">IF(COUNTIFS($BP$6:$BP$53,BP49,$BC$6:$BC$53,INDEX(T_Equipos[Grupo],MATCH(BD49,T_Equipos[NombreEquipo],0)))=1,"-","P."&amp;BP49&amp;" ("&amp;COUNTIFS($BP$6:$BP$53,BP49,$BC$6:$BC$53,INDEX(T_Equipos[Grupo],MATCH(BD49,T_Equipos[NombreEquipo],0)))&amp;")")</f>
        <v>P.1 (4)</v>
      </c>
      <c r="BR49" s="16">
        <f t="shared" ca="1" si="44"/>
        <v>0</v>
      </c>
      <c r="BS49" s="16">
        <f ca="1">BP49+COUNTIFS($BQ$6:$BQ$53,BQ49,$BR$6:BR$53,"&gt;"&amp;BR49,$BC$6:$BC$53,INDEX(T_Equipos[Grupo],MATCH(BD49,T_Equipos[NombreEquipo],0)))</f>
        <v>1</v>
      </c>
      <c r="BT49" s="16" t="str">
        <f ca="1">IF(COUNTIFS($BS$6:$BS$53,BS49,$BC$6:$BC$53,INDEX(T_Equipos[Grupo],MATCH(BD49,T_Equipos[NombreEquipo],0)))=1,"-","P."&amp;BS49&amp;" ("&amp;COUNTIFS($BS$6:$BS$53,BS49,$BC$6:$BC$53,INDEX(T_Equipos[Grupo],MATCH(BD49,T_Equipos[NombreEquipo],0)))&amp;")")</f>
        <v>P.1 (4)</v>
      </c>
      <c r="BU49" s="16">
        <f t="shared" ca="1" si="24"/>
        <v>0</v>
      </c>
      <c r="BV49" s="16">
        <f t="shared" ca="1" si="25"/>
        <v>0</v>
      </c>
      <c r="BW49" s="16">
        <f t="shared" ca="1" si="26"/>
        <v>0</v>
      </c>
      <c r="BX49" s="16">
        <f t="shared" ca="1" si="48"/>
        <v>0</v>
      </c>
      <c r="BY49" s="16">
        <f ca="1">BS49+COUNTIFS($BT$6:$BT$53,BT49,$BX$6:BX$53,"&gt;"&amp;BX49,$BC$6:$BC$53,INDEX(T_Equipos[Grupo],MATCH(BD49,T_Equipos[NombreEquipo],0)))</f>
        <v>1</v>
      </c>
      <c r="BZ49" s="16" t="str">
        <f ca="1">IF(COUNTIFS($BY$6:$BY$53,BY49,$BC$6:$BC$53,INDEX(T_Equipos[Grupo],MATCH(BD49,T_Equipos[NombreEquipo],0)))=1,"-","P."&amp;BY49&amp;" ("&amp;COUNTIFS($BY$6:$BY$53,BY49,$BC$6:$BC$53,INDEX(T_Equipos[Grupo],MATCH(BD49,T_Equipos[NombreEquipo],0)))&amp;")")</f>
        <v>P.1 (4)</v>
      </c>
      <c r="CA49" s="16">
        <f t="shared" ca="1" si="27"/>
        <v>0</v>
      </c>
      <c r="CB49" s="16">
        <f t="shared" ca="1" si="28"/>
        <v>0</v>
      </c>
      <c r="CC49" s="16">
        <f t="shared" ca="1" si="49"/>
        <v>0</v>
      </c>
      <c r="CD49" s="16">
        <f ca="1">BY49+COUNTIFS($BZ$6:$BZ$53,BZ49,$CC$6:CC$53,"&gt;"&amp;CC49,$BC$6:$BC$53,INDEX(T_Equipos[Grupo],MATCH(BD49,T_Equipos[NombreEquipo],0)))</f>
        <v>1</v>
      </c>
      <c r="CE49" s="16" t="str">
        <f ca="1">IF(COUNTIFS($CD$6:$CD$53,CD49,$BC$6:$BC$53,INDEX(T_Equipos[Grupo],MATCH(BD49,T_Equipos[NombreEquipo],0)))=1,"-","P."&amp;CD49&amp;" ("&amp;COUNTIFS($CD$6:$CD$53,CD49,$BC$6:$BC$53,INDEX(T_Equipos[Grupo],MATCH(BD49,T_Equipos[NombreEquipo],0)))&amp;")")</f>
        <v>P.1 (4)</v>
      </c>
      <c r="CF49" s="16">
        <f t="shared" ca="1" si="29"/>
        <v>0</v>
      </c>
      <c r="CG49" s="16">
        <f ca="1">CD49+COUNTIFS($CE$6:$CE$53,CE49,$CF$6:CF$53,"&gt;"&amp;CF49,$BC$6:$BC$53,INDEX(T_Equipos[Grupo],MATCH(BD49,T_Equipos[NombreEquipo],0)))</f>
        <v>1</v>
      </c>
      <c r="CH49" s="16" t="str">
        <f ca="1">IF(COUNTIFS($CG$6:$CG$53,CG49,$BC$6:$BC$53,INDEX(T_Equipos[Grupo],MATCH(BD49,T_Equipos[NombreEquipo],0)))=1,"-","P."&amp;CG49&amp;" ("&amp;COUNTIFS($CG$6:$CG$53,CG49,$BC$6:$BC$53,INDEX(T_Equipos[Grupo],MATCH(BD49,T_Equipos[NombreEquipo],0)))&amp;")")</f>
        <v>P.1 (4)</v>
      </c>
      <c r="CI49" s="16">
        <f t="shared" ca="1" si="30"/>
        <v>0</v>
      </c>
      <c r="CJ49" s="16">
        <f t="shared" ca="1" si="31"/>
        <v>0</v>
      </c>
      <c r="CK49" s="16">
        <f t="shared" ca="1" si="32"/>
        <v>0</v>
      </c>
      <c r="CL49" s="16">
        <f t="shared" ca="1" si="50"/>
        <v>0</v>
      </c>
      <c r="CM49" s="16">
        <f ca="1">CG49+COUNTIFS($CH$6:$CH$53,CH49,$CL$6:CL$53,"&gt;"&amp;CL49,$BC$6:$BC$53,INDEX(T_Equipos[Grupo],MATCH(BD49,T_Equipos[NombreEquipo],0)))</f>
        <v>1</v>
      </c>
      <c r="CN49" s="16" t="str">
        <f ca="1">IF(COUNTIFS($CM$6:$CM$53,CM49,$BC$6:$BC$53,INDEX(T_Equipos[Grupo],MATCH(BD49,T_Equipos[NombreEquipo],0)))=1,"-","P."&amp;CM49&amp;" ("&amp;COUNTIFS($CM$6:$CM$53,CM49,$BC$6:$BC$53,INDEX(T_Equipos[Grupo],MATCH(BD49,T_Equipos[NombreEquipo],0)))&amp;")")</f>
        <v>P.1 (4)</v>
      </c>
      <c r="CO49" s="16">
        <f t="shared" ca="1" si="33"/>
        <v>0</v>
      </c>
      <c r="CP49" s="16">
        <f t="shared" ca="1" si="34"/>
        <v>0</v>
      </c>
      <c r="CQ49" s="16">
        <f t="shared" ca="1" si="51"/>
        <v>0</v>
      </c>
      <c r="CR49" s="16">
        <f ca="1">CM49+COUNTIFS($CN$6:$CN$53,CN49,$CQ$6:CQ$53,"&gt;"&amp;CQ49,$BC$6:$BC$53,INDEX(T_Equipos[Grupo],MATCH(BD49,T_Equipos[NombreEquipo],0)))</f>
        <v>1</v>
      </c>
      <c r="CS49" s="16" t="str">
        <f ca="1">IF(COUNTIFS($CR$6:$CR$53,CR49,$BC$6:$BC$53,INDEX(T_Equipos[Grupo],MATCH(BD49,T_Equipos[NombreEquipo],0)))=1,"-","P."&amp;CR49&amp;" ("&amp;COUNTIFS($CR$6:$CR$53,CR49,$BC$6:$BC$53,INDEX(T_Equipos[Grupo],MATCH(BD49,T_Equipos[NombreEquipo],0)))&amp;")")</f>
        <v>P.1 (4)</v>
      </c>
      <c r="CT49" s="16">
        <f t="shared" ca="1" si="35"/>
        <v>0</v>
      </c>
      <c r="CU49" s="16">
        <f ca="1">CR49+COUNTIFS($CS$6:$CS$53,CS49,$CT$6:CT$53,"&gt;"&amp;CT49,$BC$6:$BC$53,INDEX(T_Equipos[Grupo],MATCH(BD49,T_Equipos[NombreEquipo],0)))</f>
        <v>1</v>
      </c>
      <c r="CV49" s="16" t="str">
        <f ca="1">IF(COUNTIFS($CU$6:$CU$53,CU49,$BC$6:$BC$53,INDEX(T_Equipos[Grupo],MATCH(BD49,T_Equipos[NombreEquipo],0)))=1,"-","P."&amp;CU49&amp;" ("&amp;COUNTIFS($CU$6:$CU$53,CU49,$BC$6:$BC$53,INDEX(T_Equipos[Grupo],MATCH(BD49,T_Equipos[NombreEquipo],0)))&amp;")")</f>
        <v>P.1 (4)</v>
      </c>
      <c r="CW49" s="16">
        <f t="shared" ca="1" si="36"/>
        <v>0</v>
      </c>
      <c r="CX49" s="16">
        <f ca="1">CU49+COUNTIFS($CV$6:$CV$53,CV49,$CW$6:CW$53,"&gt;"&amp;CW49,$BC$6:$BC$53,INDEX(T_Equipos[Grupo],MATCH(BD49,T_Equipos[NombreEquipo],0)))</f>
        <v>1</v>
      </c>
      <c r="CY49" s="16" t="str">
        <f ca="1">IF(COUNTIFS($CX$6:$CX$53,CX49,$BC$6:$BC$53,INDEX(T_Equipos[Grupo],MATCH(BD49,T_Equipos[NombreEquipo],0)))=1,"-","P."&amp;CX49&amp;" ("&amp;COUNTIFS($CX$6:$CX$53,CX49,$BC$6:$BC$53,INDEX(T_Equipos[Grupo],MATCH(BD49,T_Equipos[NombreEquipo],0)))&amp;")")</f>
        <v>P.1 (4)</v>
      </c>
      <c r="CZ49" s="16">
        <f t="shared" ca="1" si="37"/>
        <v>0</v>
      </c>
      <c r="DA49" s="16">
        <f ca="1">CX49+COUNTIFS($CY$6:$CY$53,CY49,$CZ$6:CZ$53,"&gt;"&amp;CZ49,$BC$6:$BC$53,INDEX(T_Equipos[Grupo],MATCH(BD49,T_Equipos[NombreEquipo],0)))</f>
        <v>1</v>
      </c>
      <c r="DB49" s="16" t="str">
        <f ca="1">IF(COUNTIFS($DA$6:$DA$53,DA49,$BC$6:$BC$53,INDEX(T_Equipos[Grupo],MATCH(BD49,T_Equipos[NombreEquipo],0)))=1,"-","P."&amp;DA49&amp;" ("&amp;COUNTIFS($DA$6:$DA$53,DA49,$BC$6:$BC$53,INDEX(T_Equipos[Grupo],MATCH(BD49,T_Equipos[NombreEquipo],0)))&amp;")")</f>
        <v>P.1 (4)</v>
      </c>
      <c r="DC49" s="16">
        <f ca="1">IF(DB49="-","-",COUNTIFS(T_Equipos[Rank],"&lt;"&amp;INDEX(T_Equipos[Rank],MATCH(BD49,T_Equipos[NombreEquipo],0)),$BC$6:$BC$53,INDEX(T_Equipos[Grupo],MATCH(BD49,T_Equipos[NombreEquipo],0)))+1)</f>
        <v>4</v>
      </c>
      <c r="DD49" s="16">
        <f ca="1">DA49+COUNTIFS($DB$6:$DB$53,DB49,$DC$6:DC$53,"&lt;"&amp;DC49,$BC$6:$BC$53,INDEX(T_Equipos[Grupo],MATCH(BD49,T_Equipos[NombreEquipo],0)))</f>
        <v>4</v>
      </c>
      <c r="DE49" s="16"/>
      <c r="DF49" s="16">
        <f t="shared" ca="1" si="52"/>
        <v>4</v>
      </c>
      <c r="DG49" s="16">
        <f ca="1">IF(DB49="-","-",COUNTIFS(DF$6:DF$53,"&lt;"&amp;DF49,$BC$6:$BC$53,INDEX(T_Equipos[Grupo],MATCH(BD49,T_Equipos[NombreEquipo],0))))</f>
        <v>3</v>
      </c>
      <c r="DH49" s="16">
        <f ca="1">DA49+COUNTIFS(DB$6:DB$53,DB49,DG$6:DG$53,"&lt;"&amp;DG49,$BC$6:$BC$53,INDEX(T_Equipos[Grupo],MATCH(BD49,T_Equipos[NombreEquipo],0)))</f>
        <v>4</v>
      </c>
      <c r="DI49" s="16"/>
      <c r="DJ49" s="16">
        <f t="shared" ca="1" si="38"/>
        <v>1</v>
      </c>
      <c r="DK49" s="16">
        <f t="shared" ca="1" si="39"/>
        <v>0</v>
      </c>
      <c r="DL49" s="16">
        <f t="shared" ca="1" si="40"/>
        <v>1</v>
      </c>
      <c r="DM49" s="16" t="str">
        <f t="shared" ca="1" si="46"/>
        <v>1.1</v>
      </c>
      <c r="DN49" s="16" cm="1">
        <f t="array" aca="1" ref="DN49" ca="1">OFFSET(Horarios!$P$3,DJ49-1,0,DL49,1)</f>
        <v>1</v>
      </c>
      <c r="DO49" s="16"/>
      <c r="DP49" s="16" t="s">
        <v>692</v>
      </c>
      <c r="DQ49" s="16" t="str">
        <f t="shared" ca="1" si="47"/>
        <v>Colombia</v>
      </c>
    </row>
    <row r="50" spans="1:121" ht="16" customHeight="1" thickBot="1" x14ac:dyDescent="0.25">
      <c r="A50" s="16"/>
      <c r="B50" s="16"/>
      <c r="C50" s="16"/>
      <c r="D50" s="16"/>
      <c r="E50" s="16"/>
      <c r="F50" s="16"/>
      <c r="G50" s="16"/>
      <c r="H50" s="16"/>
      <c r="I50" s="16"/>
      <c r="J50" s="16"/>
      <c r="K50" s="16"/>
      <c r="L50" s="16"/>
      <c r="M50" s="16"/>
      <c r="N50" s="16"/>
      <c r="O50" s="16"/>
      <c r="P50" s="16"/>
      <c r="Q50" s="16"/>
      <c r="R50" s="16"/>
      <c r="S50" s="16"/>
      <c r="T50" s="16"/>
      <c r="U50" s="16"/>
      <c r="V50" s="17"/>
      <c r="W50" s="154"/>
      <c r="X50" s="155"/>
      <c r="Y50" s="154"/>
      <c r="Z50" s="156"/>
      <c r="AA50" s="157"/>
      <c r="AB50" s="158"/>
      <c r="AC50" s="151"/>
      <c r="AD50" s="151"/>
      <c r="AE50" s="158"/>
      <c r="AF50" s="159"/>
      <c r="AG50" s="325"/>
      <c r="AH50" s="195"/>
      <c r="AI50" s="180"/>
      <c r="AJ50" s="160"/>
      <c r="AK50" s="161"/>
      <c r="AL50" s="162"/>
      <c r="AM50" s="163"/>
      <c r="AN50" s="160"/>
      <c r="AO50" s="160"/>
      <c r="AP50" s="160"/>
      <c r="AQ50" s="160"/>
      <c r="AR50" s="160"/>
      <c r="AS50" s="160"/>
      <c r="AT50" s="160"/>
      <c r="AU50" s="330"/>
      <c r="AV50" s="189"/>
      <c r="AW50" s="211"/>
      <c r="AX50" s="171"/>
      <c r="AY50" s="154"/>
      <c r="AZ50" s="155"/>
      <c r="BA50" s="176"/>
      <c r="BC50" s="16" t="str">
        <f ca="1">+INDEX(T_Equipos[Grupo],MATCH(WORLDCUP!BD50,T_Equipos[NombreEquipo],0))</f>
        <v>L</v>
      </c>
      <c r="BD50" s="16" t="str">
        <f ca="1">+Equipos!B46</f>
        <v>England</v>
      </c>
      <c r="BE50" s="16">
        <f t="shared" ca="1" si="16"/>
        <v>0</v>
      </c>
      <c r="BF50" s="16">
        <f t="shared" ca="1" si="41"/>
        <v>0</v>
      </c>
      <c r="BG50" s="16">
        <f t="shared" ca="1" si="17"/>
        <v>0</v>
      </c>
      <c r="BH50" s="16">
        <f t="shared" ca="1" si="18"/>
        <v>0</v>
      </c>
      <c r="BI50" s="16">
        <f t="shared" ca="1" si="19"/>
        <v>0</v>
      </c>
      <c r="BJ50" s="16">
        <f t="shared" ca="1" si="20"/>
        <v>0</v>
      </c>
      <c r="BK50" s="16">
        <f t="shared" ca="1" si="21"/>
        <v>0</v>
      </c>
      <c r="BL50" s="16">
        <f t="shared" ca="1" si="42"/>
        <v>0</v>
      </c>
      <c r="BM50" s="16" t="str">
        <f t="shared" ca="1" si="22"/>
        <v>1L</v>
      </c>
      <c r="BN50" s="16" t="str">
        <f t="shared" ca="1" si="23"/>
        <v>1L</v>
      </c>
      <c r="BO50" s="16">
        <f t="shared" ca="1" si="43"/>
        <v>0</v>
      </c>
      <c r="BP50" s="16">
        <f ca="1">COUNTIFS($BO$6:$BO$53,"&gt;"&amp;BO50,$BC$6:$BC$53,INDEX(T_Equipos[Grupo],MATCH(BD50,T_Equipos[NombreEquipo],0)))+1</f>
        <v>1</v>
      </c>
      <c r="BQ50" s="16" t="str">
        <f ca="1">IF(COUNTIFS($BP$6:$BP$53,BP50,$BC$6:$BC$53,INDEX(T_Equipos[Grupo],MATCH(BD50,T_Equipos[NombreEquipo],0)))=1,"-","P."&amp;BP50&amp;" ("&amp;COUNTIFS($BP$6:$BP$53,BP50,$BC$6:$BC$53,INDEX(T_Equipos[Grupo],MATCH(BD50,T_Equipos[NombreEquipo],0)))&amp;")")</f>
        <v>P.1 (4)</v>
      </c>
      <c r="BR50" s="16">
        <f t="shared" ca="1" si="44"/>
        <v>0</v>
      </c>
      <c r="BS50" s="16">
        <f ca="1">BP50+COUNTIFS($BQ$6:$BQ$53,BQ50,$BR$6:BR$53,"&gt;"&amp;BR50,$BC$6:$BC$53,INDEX(T_Equipos[Grupo],MATCH(BD50,T_Equipos[NombreEquipo],0)))</f>
        <v>1</v>
      </c>
      <c r="BT50" s="16" t="str">
        <f ca="1">IF(COUNTIFS($BS$6:$BS$53,BS50,$BC$6:$BC$53,INDEX(T_Equipos[Grupo],MATCH(BD50,T_Equipos[NombreEquipo],0)))=1,"-","P."&amp;BS50&amp;" ("&amp;COUNTIFS($BS$6:$BS$53,BS50,$BC$6:$BC$53,INDEX(T_Equipos[Grupo],MATCH(BD50,T_Equipos[NombreEquipo],0)))&amp;")")</f>
        <v>P.1 (4)</v>
      </c>
      <c r="BU50" s="16">
        <f t="shared" ca="1" si="24"/>
        <v>0</v>
      </c>
      <c r="BV50" s="16">
        <f t="shared" ca="1" si="25"/>
        <v>0</v>
      </c>
      <c r="BW50" s="16">
        <f t="shared" ca="1" si="26"/>
        <v>0</v>
      </c>
      <c r="BX50" s="16">
        <f t="shared" ca="1" si="48"/>
        <v>0</v>
      </c>
      <c r="BY50" s="16">
        <f ca="1">BS50+COUNTIFS($BT$6:$BT$53,BT50,$BX$6:BX$53,"&gt;"&amp;BX50,$BC$6:$BC$53,INDEX(T_Equipos[Grupo],MATCH(BD50,T_Equipos[NombreEquipo],0)))</f>
        <v>1</v>
      </c>
      <c r="BZ50" s="16" t="str">
        <f ca="1">IF(COUNTIFS($BY$6:$BY$53,BY50,$BC$6:$BC$53,INDEX(T_Equipos[Grupo],MATCH(BD50,T_Equipos[NombreEquipo],0)))=1,"-","P."&amp;BY50&amp;" ("&amp;COUNTIFS($BY$6:$BY$53,BY50,$BC$6:$BC$53,INDEX(T_Equipos[Grupo],MATCH(BD50,T_Equipos[NombreEquipo],0)))&amp;")")</f>
        <v>P.1 (4)</v>
      </c>
      <c r="CA50" s="16">
        <f t="shared" ca="1" si="27"/>
        <v>0</v>
      </c>
      <c r="CB50" s="16">
        <f t="shared" ca="1" si="28"/>
        <v>0</v>
      </c>
      <c r="CC50" s="16">
        <f t="shared" ca="1" si="49"/>
        <v>0</v>
      </c>
      <c r="CD50" s="16">
        <f ca="1">BY50+COUNTIFS($BZ$6:$BZ$53,BZ50,$CC$6:CC$53,"&gt;"&amp;CC50,$BC$6:$BC$53,INDEX(T_Equipos[Grupo],MATCH(BD50,T_Equipos[NombreEquipo],0)))</f>
        <v>1</v>
      </c>
      <c r="CE50" s="16" t="str">
        <f ca="1">IF(COUNTIFS($CD$6:$CD$53,CD50,$BC$6:$BC$53,INDEX(T_Equipos[Grupo],MATCH(BD50,T_Equipos[NombreEquipo],0)))=1,"-","P."&amp;CD50&amp;" ("&amp;COUNTIFS($CD$6:$CD$53,CD50,$BC$6:$BC$53,INDEX(T_Equipos[Grupo],MATCH(BD50,T_Equipos[NombreEquipo],0)))&amp;")")</f>
        <v>P.1 (4)</v>
      </c>
      <c r="CF50" s="16">
        <f t="shared" ca="1" si="29"/>
        <v>0</v>
      </c>
      <c r="CG50" s="16">
        <f ca="1">CD50+COUNTIFS($CE$6:$CE$53,CE50,$CF$6:CF$53,"&gt;"&amp;CF50,$BC$6:$BC$53,INDEX(T_Equipos[Grupo],MATCH(BD50,T_Equipos[NombreEquipo],0)))</f>
        <v>1</v>
      </c>
      <c r="CH50" s="16" t="str">
        <f ca="1">IF(COUNTIFS($CG$6:$CG$53,CG50,$BC$6:$BC$53,INDEX(T_Equipos[Grupo],MATCH(BD50,T_Equipos[NombreEquipo],0)))=1,"-","P."&amp;CG50&amp;" ("&amp;COUNTIFS($CG$6:$CG$53,CG50,$BC$6:$BC$53,INDEX(T_Equipos[Grupo],MATCH(BD50,T_Equipos[NombreEquipo],0)))&amp;")")</f>
        <v>P.1 (4)</v>
      </c>
      <c r="CI50" s="16">
        <f t="shared" ca="1" si="30"/>
        <v>0</v>
      </c>
      <c r="CJ50" s="16">
        <f t="shared" ca="1" si="31"/>
        <v>0</v>
      </c>
      <c r="CK50" s="16">
        <f t="shared" ca="1" si="32"/>
        <v>0</v>
      </c>
      <c r="CL50" s="16">
        <f t="shared" ca="1" si="50"/>
        <v>0</v>
      </c>
      <c r="CM50" s="16">
        <f ca="1">CG50+COUNTIFS($CH$6:$CH$53,CH50,$CL$6:CL$53,"&gt;"&amp;CL50,$BC$6:$BC$53,INDEX(T_Equipos[Grupo],MATCH(BD50,T_Equipos[NombreEquipo],0)))</f>
        <v>1</v>
      </c>
      <c r="CN50" s="16" t="str">
        <f ca="1">IF(COUNTIFS($CM$6:$CM$53,CM50,$BC$6:$BC$53,INDEX(T_Equipos[Grupo],MATCH(BD50,T_Equipos[NombreEquipo],0)))=1,"-","P."&amp;CM50&amp;" ("&amp;COUNTIFS($CM$6:$CM$53,CM50,$BC$6:$BC$53,INDEX(T_Equipos[Grupo],MATCH(BD50,T_Equipos[NombreEquipo],0)))&amp;")")</f>
        <v>P.1 (4)</v>
      </c>
      <c r="CO50" s="16">
        <f t="shared" ca="1" si="33"/>
        <v>0</v>
      </c>
      <c r="CP50" s="16">
        <f t="shared" ca="1" si="34"/>
        <v>0</v>
      </c>
      <c r="CQ50" s="16">
        <f t="shared" ca="1" si="51"/>
        <v>0</v>
      </c>
      <c r="CR50" s="16">
        <f ca="1">CM50+COUNTIFS($CN$6:$CN$53,CN50,$CQ$6:CQ$53,"&gt;"&amp;CQ50,$BC$6:$BC$53,INDEX(T_Equipos[Grupo],MATCH(BD50,T_Equipos[NombreEquipo],0)))</f>
        <v>1</v>
      </c>
      <c r="CS50" s="16" t="str">
        <f ca="1">IF(COUNTIFS($CR$6:$CR$53,CR50,$BC$6:$BC$53,INDEX(T_Equipos[Grupo],MATCH(BD50,T_Equipos[NombreEquipo],0)))=1,"-","P."&amp;CR50&amp;" ("&amp;COUNTIFS($CR$6:$CR$53,CR50,$BC$6:$BC$53,INDEX(T_Equipos[Grupo],MATCH(BD50,T_Equipos[NombreEquipo],0)))&amp;")")</f>
        <v>P.1 (4)</v>
      </c>
      <c r="CT50" s="16">
        <f t="shared" ca="1" si="35"/>
        <v>0</v>
      </c>
      <c r="CU50" s="16">
        <f ca="1">CR50+COUNTIFS($CS$6:$CS$53,CS50,$CT$6:CT$53,"&gt;"&amp;CT50,$BC$6:$BC$53,INDEX(T_Equipos[Grupo],MATCH(BD50,T_Equipos[NombreEquipo],0)))</f>
        <v>1</v>
      </c>
      <c r="CV50" s="16" t="str">
        <f ca="1">IF(COUNTIFS($CU$6:$CU$53,CU50,$BC$6:$BC$53,INDEX(T_Equipos[Grupo],MATCH(BD50,T_Equipos[NombreEquipo],0)))=1,"-","P."&amp;CU50&amp;" ("&amp;COUNTIFS($CU$6:$CU$53,CU50,$BC$6:$BC$53,INDEX(T_Equipos[Grupo],MATCH(BD50,T_Equipos[NombreEquipo],0)))&amp;")")</f>
        <v>P.1 (4)</v>
      </c>
      <c r="CW50" s="16">
        <f t="shared" ca="1" si="36"/>
        <v>0</v>
      </c>
      <c r="CX50" s="16">
        <f ca="1">CU50+COUNTIFS($CV$6:$CV$53,CV50,$CW$6:CW$53,"&gt;"&amp;CW50,$BC$6:$BC$53,INDEX(T_Equipos[Grupo],MATCH(BD50,T_Equipos[NombreEquipo],0)))</f>
        <v>1</v>
      </c>
      <c r="CY50" s="16" t="str">
        <f ca="1">IF(COUNTIFS($CX$6:$CX$53,CX50,$BC$6:$BC$53,INDEX(T_Equipos[Grupo],MATCH(BD50,T_Equipos[NombreEquipo],0)))=1,"-","P."&amp;CX50&amp;" ("&amp;COUNTIFS($CX$6:$CX$53,CX50,$BC$6:$BC$53,INDEX(T_Equipos[Grupo],MATCH(BD50,T_Equipos[NombreEquipo],0)))&amp;")")</f>
        <v>P.1 (4)</v>
      </c>
      <c r="CZ50" s="16">
        <f t="shared" ca="1" si="37"/>
        <v>0</v>
      </c>
      <c r="DA50" s="16">
        <f ca="1">CX50+COUNTIFS($CY$6:$CY$53,CY50,$CZ$6:CZ$53,"&gt;"&amp;CZ50,$BC$6:$BC$53,INDEX(T_Equipos[Grupo],MATCH(BD50,T_Equipos[NombreEquipo],0)))</f>
        <v>1</v>
      </c>
      <c r="DB50" s="16" t="str">
        <f ca="1">IF(COUNTIFS($DA$6:$DA$53,DA50,$BC$6:$BC$53,INDEX(T_Equipos[Grupo],MATCH(BD50,T_Equipos[NombreEquipo],0)))=1,"-","P."&amp;DA50&amp;" ("&amp;COUNTIFS($DA$6:$DA$53,DA50,$BC$6:$BC$53,INDEX(T_Equipos[Grupo],MATCH(BD50,T_Equipos[NombreEquipo],0)))&amp;")")</f>
        <v>P.1 (4)</v>
      </c>
      <c r="DC50" s="16">
        <f ca="1">IF(DB50="-","-",COUNTIFS(T_Equipos[Rank],"&lt;"&amp;INDEX(T_Equipos[Rank],MATCH(BD50,T_Equipos[NombreEquipo],0)),$BC$6:$BC$53,INDEX(T_Equipos[Grupo],MATCH(BD50,T_Equipos[NombreEquipo],0)))+1)</f>
        <v>1</v>
      </c>
      <c r="DD50" s="16">
        <f ca="1">DA50+COUNTIFS($DB$6:$DB$53,DB50,$DC$6:DC$53,"&lt;"&amp;DC50,$BC$6:$BC$53,INDEX(T_Equipos[Grupo],MATCH(BD50,T_Equipos[NombreEquipo],0)))</f>
        <v>1</v>
      </c>
      <c r="DE50" s="16"/>
      <c r="DF50" s="16">
        <f t="shared" ca="1" si="52"/>
        <v>1</v>
      </c>
      <c r="DG50" s="16">
        <f ca="1">IF(DB50="-","-",COUNTIFS(DF$6:DF$53,"&lt;"&amp;DF50,$BC$6:$BC$53,INDEX(T_Equipos[Grupo],MATCH(BD50,T_Equipos[NombreEquipo],0))))</f>
        <v>0</v>
      </c>
      <c r="DH50" s="16">
        <f ca="1">DA50+COUNTIFS(DB$6:DB$53,DB50,DG$6:DG$53,"&lt;"&amp;DG50,$BC$6:$BC$53,INDEX(T_Equipos[Grupo],MATCH(BD50,T_Equipos[NombreEquipo],0)))</f>
        <v>1</v>
      </c>
      <c r="DI50" s="16"/>
      <c r="DJ50" s="16">
        <f t="shared" ca="1" si="38"/>
        <v>1</v>
      </c>
      <c r="DK50" s="16">
        <f t="shared" ca="1" si="39"/>
        <v>0</v>
      </c>
      <c r="DL50" s="16">
        <f t="shared" ca="1" si="40"/>
        <v>1</v>
      </c>
      <c r="DM50" s="16" t="str">
        <f t="shared" ca="1" si="46"/>
        <v>1.1</v>
      </c>
      <c r="DN50" s="16" cm="1">
        <f t="array" aca="1" ref="DN50" ca="1">OFFSET(Horarios!$P$3,DJ50-1,0,DL50,1)</f>
        <v>1</v>
      </c>
      <c r="DO50" s="16"/>
      <c r="DP50" s="16" t="s">
        <v>693</v>
      </c>
      <c r="DQ50" s="16" t="str">
        <f t="shared" ca="1" si="47"/>
        <v>England</v>
      </c>
    </row>
    <row r="51" spans="1:121" ht="16" customHeight="1" thickBot="1" x14ac:dyDescent="0.25">
      <c r="A51" s="16"/>
      <c r="B51" s="16"/>
      <c r="C51" s="16"/>
      <c r="D51" s="16"/>
      <c r="E51" s="16"/>
      <c r="F51" s="16"/>
      <c r="G51" s="16"/>
      <c r="H51" s="16"/>
      <c r="I51" s="16"/>
      <c r="J51" s="16"/>
      <c r="K51" s="16"/>
      <c r="L51" s="16"/>
      <c r="M51" s="16"/>
      <c r="N51" s="16"/>
      <c r="O51" s="16"/>
      <c r="P51" s="16"/>
      <c r="Q51" s="16"/>
      <c r="R51" s="16"/>
      <c r="S51" s="16"/>
      <c r="T51" s="16"/>
      <c r="U51" s="16"/>
      <c r="V51" s="17"/>
      <c r="W51" s="8"/>
      <c r="X51" s="69" t="str">
        <f>X3</f>
        <v>Date</v>
      </c>
      <c r="Y51" s="69" t="str">
        <f>Y3</f>
        <v>Hour</v>
      </c>
      <c r="Z51" s="55" t="str">
        <f>Z3</f>
        <v>R</v>
      </c>
      <c r="AA51" s="57" t="str">
        <f>AA3</f>
        <v>Home</v>
      </c>
      <c r="AB51" s="56"/>
      <c r="AC51" s="55" t="str">
        <f>AC3</f>
        <v>Goal</v>
      </c>
      <c r="AD51" s="55" t="str">
        <f>AD3</f>
        <v>Goal</v>
      </c>
      <c r="AE51" s="56"/>
      <c r="AF51" s="58" t="str">
        <f>AF3</f>
        <v>Away</v>
      </c>
      <c r="AG51" s="324"/>
      <c r="AH51" s="195"/>
      <c r="AI51" s="179"/>
      <c r="AJ51" s="162"/>
      <c r="AK51" s="600"/>
      <c r="AL51" s="162"/>
      <c r="AM51" s="162"/>
      <c r="AN51" s="162"/>
      <c r="AO51" s="162"/>
      <c r="AP51" s="162"/>
      <c r="AQ51" s="162"/>
      <c r="AR51" s="162"/>
      <c r="AS51" s="162"/>
      <c r="AT51" s="162"/>
      <c r="AU51" s="331"/>
      <c r="AV51" s="188"/>
      <c r="AW51" s="212"/>
      <c r="AX51" s="172"/>
      <c r="AY51" s="154"/>
      <c r="AZ51" s="155"/>
      <c r="BA51" s="176"/>
      <c r="BC51" s="16" t="str">
        <f ca="1">+INDEX(T_Equipos[Grupo],MATCH(WORLDCUP!BD51,T_Equipos[NombreEquipo],0))</f>
        <v>L</v>
      </c>
      <c r="BD51" s="16" t="str">
        <f ca="1">+Equipos!B47</f>
        <v>Croatia</v>
      </c>
      <c r="BE51" s="16">
        <f t="shared" ca="1" si="16"/>
        <v>0</v>
      </c>
      <c r="BF51" s="16">
        <f t="shared" ca="1" si="41"/>
        <v>0</v>
      </c>
      <c r="BG51" s="16">
        <f t="shared" ca="1" si="17"/>
        <v>0</v>
      </c>
      <c r="BH51" s="16">
        <f t="shared" ca="1" si="18"/>
        <v>0</v>
      </c>
      <c r="BI51" s="16">
        <f t="shared" ca="1" si="19"/>
        <v>0</v>
      </c>
      <c r="BJ51" s="16">
        <f t="shared" ca="1" si="20"/>
        <v>0</v>
      </c>
      <c r="BK51" s="16">
        <f t="shared" ca="1" si="21"/>
        <v>0</v>
      </c>
      <c r="BL51" s="16">
        <f t="shared" ca="1" si="42"/>
        <v>0</v>
      </c>
      <c r="BM51" s="16" t="str">
        <f t="shared" ca="1" si="22"/>
        <v>2L</v>
      </c>
      <c r="BN51" s="16" t="str">
        <f t="shared" ca="1" si="23"/>
        <v>2L</v>
      </c>
      <c r="BO51" s="16">
        <f t="shared" ca="1" si="43"/>
        <v>0</v>
      </c>
      <c r="BP51" s="16">
        <f ca="1">COUNTIFS($BO$6:$BO$53,"&gt;"&amp;BO51,$BC$6:$BC$53,INDEX(T_Equipos[Grupo],MATCH(BD51,T_Equipos[NombreEquipo],0)))+1</f>
        <v>1</v>
      </c>
      <c r="BQ51" s="16" t="str">
        <f ca="1">IF(COUNTIFS($BP$6:$BP$53,BP51,$BC$6:$BC$53,INDEX(T_Equipos[Grupo],MATCH(BD51,T_Equipos[NombreEquipo],0)))=1,"-","P."&amp;BP51&amp;" ("&amp;COUNTIFS($BP$6:$BP$53,BP51,$BC$6:$BC$53,INDEX(T_Equipos[Grupo],MATCH(BD51,T_Equipos[NombreEquipo],0)))&amp;")")</f>
        <v>P.1 (4)</v>
      </c>
      <c r="BR51" s="16">
        <f t="shared" ca="1" si="44"/>
        <v>0</v>
      </c>
      <c r="BS51" s="16">
        <f ca="1">BP51+COUNTIFS($BQ$6:$BQ$53,BQ51,$BR$6:BR$53,"&gt;"&amp;BR51,$BC$6:$BC$53,INDEX(T_Equipos[Grupo],MATCH(BD51,T_Equipos[NombreEquipo],0)))</f>
        <v>1</v>
      </c>
      <c r="BT51" s="16" t="str">
        <f ca="1">IF(COUNTIFS($BS$6:$BS$53,BS51,$BC$6:$BC$53,INDEX(T_Equipos[Grupo],MATCH(BD51,T_Equipos[NombreEquipo],0)))=1,"-","P."&amp;BS51&amp;" ("&amp;COUNTIFS($BS$6:$BS$53,BS51,$BC$6:$BC$53,INDEX(T_Equipos[Grupo],MATCH(BD51,T_Equipos[NombreEquipo],0)))&amp;")")</f>
        <v>P.1 (4)</v>
      </c>
      <c r="BU51" s="16">
        <f t="shared" ca="1" si="24"/>
        <v>0</v>
      </c>
      <c r="BV51" s="16">
        <f t="shared" ca="1" si="25"/>
        <v>0</v>
      </c>
      <c r="BW51" s="16">
        <f t="shared" ca="1" si="26"/>
        <v>0</v>
      </c>
      <c r="BX51" s="16">
        <f t="shared" ca="1" si="48"/>
        <v>0</v>
      </c>
      <c r="BY51" s="16">
        <f ca="1">BS51+COUNTIFS($BT$6:$BT$53,BT51,$BX$6:BX$53,"&gt;"&amp;BX51,$BC$6:$BC$53,INDEX(T_Equipos[Grupo],MATCH(BD51,T_Equipos[NombreEquipo],0)))</f>
        <v>1</v>
      </c>
      <c r="BZ51" s="16" t="str">
        <f ca="1">IF(COUNTIFS($BY$6:$BY$53,BY51,$BC$6:$BC$53,INDEX(T_Equipos[Grupo],MATCH(BD51,T_Equipos[NombreEquipo],0)))=1,"-","P."&amp;BY51&amp;" ("&amp;COUNTIFS($BY$6:$BY$53,BY51,$BC$6:$BC$53,INDEX(T_Equipos[Grupo],MATCH(BD51,T_Equipos[NombreEquipo],0)))&amp;")")</f>
        <v>P.1 (4)</v>
      </c>
      <c r="CA51" s="16">
        <f t="shared" ca="1" si="27"/>
        <v>0</v>
      </c>
      <c r="CB51" s="16">
        <f t="shared" ca="1" si="28"/>
        <v>0</v>
      </c>
      <c r="CC51" s="16">
        <f t="shared" ca="1" si="49"/>
        <v>0</v>
      </c>
      <c r="CD51" s="16">
        <f ca="1">BY51+COUNTIFS($BZ$6:$BZ$53,BZ51,$CC$6:CC$53,"&gt;"&amp;CC51,$BC$6:$BC$53,INDEX(T_Equipos[Grupo],MATCH(BD51,T_Equipos[NombreEquipo],0)))</f>
        <v>1</v>
      </c>
      <c r="CE51" s="16" t="str">
        <f ca="1">IF(COUNTIFS($CD$6:$CD$53,CD51,$BC$6:$BC$53,INDEX(T_Equipos[Grupo],MATCH(BD51,T_Equipos[NombreEquipo],0)))=1,"-","P."&amp;CD51&amp;" ("&amp;COUNTIFS($CD$6:$CD$53,CD51,$BC$6:$BC$53,INDEX(T_Equipos[Grupo],MATCH(BD51,T_Equipos[NombreEquipo],0)))&amp;")")</f>
        <v>P.1 (4)</v>
      </c>
      <c r="CF51" s="16">
        <f t="shared" ca="1" si="29"/>
        <v>0</v>
      </c>
      <c r="CG51" s="16">
        <f ca="1">CD51+COUNTIFS($CE$6:$CE$53,CE51,$CF$6:CF$53,"&gt;"&amp;CF51,$BC$6:$BC$53,INDEX(T_Equipos[Grupo],MATCH(BD51,T_Equipos[NombreEquipo],0)))</f>
        <v>1</v>
      </c>
      <c r="CH51" s="16" t="str">
        <f ca="1">IF(COUNTIFS($CG$6:$CG$53,CG51,$BC$6:$BC$53,INDEX(T_Equipos[Grupo],MATCH(BD51,T_Equipos[NombreEquipo],0)))=1,"-","P."&amp;CG51&amp;" ("&amp;COUNTIFS($CG$6:$CG$53,CG51,$BC$6:$BC$53,INDEX(T_Equipos[Grupo],MATCH(BD51,T_Equipos[NombreEquipo],0)))&amp;")")</f>
        <v>P.1 (4)</v>
      </c>
      <c r="CI51" s="16">
        <f t="shared" ca="1" si="30"/>
        <v>0</v>
      </c>
      <c r="CJ51" s="16">
        <f t="shared" ca="1" si="31"/>
        <v>0</v>
      </c>
      <c r="CK51" s="16">
        <f t="shared" ca="1" si="32"/>
        <v>0</v>
      </c>
      <c r="CL51" s="16">
        <f t="shared" ca="1" si="50"/>
        <v>0</v>
      </c>
      <c r="CM51" s="16">
        <f ca="1">CG51+COUNTIFS($CH$6:$CH$53,CH51,$CL$6:CL$53,"&gt;"&amp;CL51,$BC$6:$BC$53,INDEX(T_Equipos[Grupo],MATCH(BD51,T_Equipos[NombreEquipo],0)))</f>
        <v>1</v>
      </c>
      <c r="CN51" s="16" t="str">
        <f ca="1">IF(COUNTIFS($CM$6:$CM$53,CM51,$BC$6:$BC$53,INDEX(T_Equipos[Grupo],MATCH(BD51,T_Equipos[NombreEquipo],0)))=1,"-","P."&amp;CM51&amp;" ("&amp;COUNTIFS($CM$6:$CM$53,CM51,$BC$6:$BC$53,INDEX(T_Equipos[Grupo],MATCH(BD51,T_Equipos[NombreEquipo],0)))&amp;")")</f>
        <v>P.1 (4)</v>
      </c>
      <c r="CO51" s="16">
        <f t="shared" ca="1" si="33"/>
        <v>0</v>
      </c>
      <c r="CP51" s="16">
        <f t="shared" ca="1" si="34"/>
        <v>0</v>
      </c>
      <c r="CQ51" s="16">
        <f t="shared" ca="1" si="51"/>
        <v>0</v>
      </c>
      <c r="CR51" s="16">
        <f ca="1">CM51+COUNTIFS($CN$6:$CN$53,CN51,$CQ$6:CQ$53,"&gt;"&amp;CQ51,$BC$6:$BC$53,INDEX(T_Equipos[Grupo],MATCH(BD51,T_Equipos[NombreEquipo],0)))</f>
        <v>1</v>
      </c>
      <c r="CS51" s="16" t="str">
        <f ca="1">IF(COUNTIFS($CR$6:$CR$53,CR51,$BC$6:$BC$53,INDEX(T_Equipos[Grupo],MATCH(BD51,T_Equipos[NombreEquipo],0)))=1,"-","P."&amp;CR51&amp;" ("&amp;COUNTIFS($CR$6:$CR$53,CR51,$BC$6:$BC$53,INDEX(T_Equipos[Grupo],MATCH(BD51,T_Equipos[NombreEquipo],0)))&amp;")")</f>
        <v>P.1 (4)</v>
      </c>
      <c r="CT51" s="16">
        <f t="shared" ca="1" si="35"/>
        <v>0</v>
      </c>
      <c r="CU51" s="16">
        <f ca="1">CR51+COUNTIFS($CS$6:$CS$53,CS51,$CT$6:CT$53,"&gt;"&amp;CT51,$BC$6:$BC$53,INDEX(T_Equipos[Grupo],MATCH(BD51,T_Equipos[NombreEquipo],0)))</f>
        <v>1</v>
      </c>
      <c r="CV51" s="16" t="str">
        <f ca="1">IF(COUNTIFS($CU$6:$CU$53,CU51,$BC$6:$BC$53,INDEX(T_Equipos[Grupo],MATCH(BD51,T_Equipos[NombreEquipo],0)))=1,"-","P."&amp;CU51&amp;" ("&amp;COUNTIFS($CU$6:$CU$53,CU51,$BC$6:$BC$53,INDEX(T_Equipos[Grupo],MATCH(BD51,T_Equipos[NombreEquipo],0)))&amp;")")</f>
        <v>P.1 (4)</v>
      </c>
      <c r="CW51" s="16">
        <f t="shared" ca="1" si="36"/>
        <v>0</v>
      </c>
      <c r="CX51" s="16">
        <f ca="1">CU51+COUNTIFS($CV$6:$CV$53,CV51,$CW$6:CW$53,"&gt;"&amp;CW51,$BC$6:$BC$53,INDEX(T_Equipos[Grupo],MATCH(BD51,T_Equipos[NombreEquipo],0)))</f>
        <v>1</v>
      </c>
      <c r="CY51" s="16" t="str">
        <f ca="1">IF(COUNTIFS($CX$6:$CX$53,CX51,$BC$6:$BC$53,INDEX(T_Equipos[Grupo],MATCH(BD51,T_Equipos[NombreEquipo],0)))=1,"-","P."&amp;CX51&amp;" ("&amp;COUNTIFS($CX$6:$CX$53,CX51,$BC$6:$BC$53,INDEX(T_Equipos[Grupo],MATCH(BD51,T_Equipos[NombreEquipo],0)))&amp;")")</f>
        <v>P.1 (4)</v>
      </c>
      <c r="CZ51" s="16">
        <f t="shared" ca="1" si="37"/>
        <v>0</v>
      </c>
      <c r="DA51" s="16">
        <f ca="1">CX51+COUNTIFS($CY$6:$CY$53,CY51,$CZ$6:CZ$53,"&gt;"&amp;CZ51,$BC$6:$BC$53,INDEX(T_Equipos[Grupo],MATCH(BD51,T_Equipos[NombreEquipo],0)))</f>
        <v>1</v>
      </c>
      <c r="DB51" s="16" t="str">
        <f ca="1">IF(COUNTIFS($DA$6:$DA$53,DA51,$BC$6:$BC$53,INDEX(T_Equipos[Grupo],MATCH(BD51,T_Equipos[NombreEquipo],0)))=1,"-","P."&amp;DA51&amp;" ("&amp;COUNTIFS($DA$6:$DA$53,DA51,$BC$6:$BC$53,INDEX(T_Equipos[Grupo],MATCH(BD51,T_Equipos[NombreEquipo],0)))&amp;")")</f>
        <v>P.1 (4)</v>
      </c>
      <c r="DC51" s="16">
        <f ca="1">IF(DB51="-","-",COUNTIFS(T_Equipos[Rank],"&lt;"&amp;INDEX(T_Equipos[Rank],MATCH(BD51,T_Equipos[NombreEquipo],0)),$BC$6:$BC$53,INDEX(T_Equipos[Grupo],MATCH(BD51,T_Equipos[NombreEquipo],0)))+1)</f>
        <v>2</v>
      </c>
      <c r="DD51" s="16">
        <f ca="1">DA51+COUNTIFS($DB$6:$DB$53,DB51,$DC$6:DC$53,"&lt;"&amp;DC51,$BC$6:$BC$53,INDEX(T_Equipos[Grupo],MATCH(BD51,T_Equipos[NombreEquipo],0)))</f>
        <v>2</v>
      </c>
      <c r="DE51" s="16"/>
      <c r="DF51" s="16">
        <f t="shared" ca="1" si="52"/>
        <v>2</v>
      </c>
      <c r="DG51" s="16">
        <f ca="1">IF(DB51="-","-",COUNTIFS(DF$6:DF$53,"&lt;"&amp;DF51,$BC$6:$BC$53,INDEX(T_Equipos[Grupo],MATCH(BD51,T_Equipos[NombreEquipo],0))))</f>
        <v>1</v>
      </c>
      <c r="DH51" s="16">
        <f ca="1">DA51+COUNTIFS(DB$6:DB$53,DB51,DG$6:DG$53,"&lt;"&amp;DG51,$BC$6:$BC$53,INDEX(T_Equipos[Grupo],MATCH(BD51,T_Equipos[NombreEquipo],0)))</f>
        <v>2</v>
      </c>
      <c r="DI51" s="16"/>
      <c r="DJ51" s="16">
        <f t="shared" ca="1" si="38"/>
        <v>1</v>
      </c>
      <c r="DK51" s="16">
        <f t="shared" ca="1" si="39"/>
        <v>0</v>
      </c>
      <c r="DL51" s="16">
        <f t="shared" ca="1" si="40"/>
        <v>1</v>
      </c>
      <c r="DM51" s="16" t="str">
        <f t="shared" ca="1" si="46"/>
        <v>1.1</v>
      </c>
      <c r="DN51" s="16" cm="1">
        <f t="array" aca="1" ref="DN51" ca="1">OFFSET(Horarios!$P$3,DJ51-1,0,DL51,1)</f>
        <v>1</v>
      </c>
      <c r="DO51" s="16"/>
      <c r="DP51" s="16" t="s">
        <v>694</v>
      </c>
      <c r="DQ51" s="16" t="str">
        <f t="shared" ca="1" si="47"/>
        <v>Croatia</v>
      </c>
    </row>
    <row r="52" spans="1:121" ht="16" customHeight="1" thickBot="1" x14ac:dyDescent="0.25">
      <c r="A52" s="16" t="s">
        <v>32</v>
      </c>
      <c r="B52" s="16" t="s">
        <v>6</v>
      </c>
      <c r="C52" s="16">
        <f>COUNTIF(Equipos!$C$2:$C$49,WORLDCUP!B52)</f>
        <v>4</v>
      </c>
      <c r="D52" s="16" t="str">
        <f t="shared" ref="D52:D57" si="149">IF(OR(AC52="",AD52=""),"Pendiente",IF(AC52&gt;AD52,"Local",IF(AC52&lt;AD52,"Visitante","Empate")))</f>
        <v>Pendiente</v>
      </c>
      <c r="E52" s="16" t="str">
        <f t="shared" ref="E52:E57" si="150">IF(D52="Pendiente","-",INDEX($BT$6:$BT$53,MATCH($AA52,$BD$6:$BD$53,0)))</f>
        <v>-</v>
      </c>
      <c r="F52" s="16" t="str">
        <f t="shared" ref="F52:F57" si="151">IF(D52="Pendiente","-",INDEX($BT$6:$BT$53,MATCH($AF52,$BD$6:$BD$53,0)))</f>
        <v>-</v>
      </c>
      <c r="G52" s="16"/>
      <c r="H52" s="16" t="str">
        <f t="shared" ref="H52:H57" si="152">IF(D52="Pendiente","-",INDEX($BZ$6:$BZ$53,MATCH($AA52,$BD$6:$BD$53,0)))</f>
        <v>-</v>
      </c>
      <c r="I52" s="16" t="str">
        <f t="shared" ref="I52:I57" si="153">IF(D52="Pendiente","-",INDEX($BZ$6:$BZ$53,MATCH($AF52,$BD$6:$BD$53,0)))</f>
        <v>-</v>
      </c>
      <c r="J52" s="16"/>
      <c r="K52" s="16" t="str">
        <f t="shared" ref="K52:K57" si="154">IF(D52="Pendiente","-",INDEX($CE$6:$CE$53,MATCH($AA52,$BD$6:$BD$53,0)))</f>
        <v>-</v>
      </c>
      <c r="L52" s="16" t="str">
        <f t="shared" ref="L52:L57" si="155">IF(D52="Pendiente","-",INDEX($CE$6:$CE$53,MATCH($AF52,$BD$6:$BD$53,0)))</f>
        <v>-</v>
      </c>
      <c r="M52" s="16"/>
      <c r="N52" s="16" t="str">
        <f t="shared" ref="N52:N57" si="156">IF(D52="Pendiente","-",INDEX($CH$6:$CH$53,MATCH($AA52,$BD$6:$BD$53,0)))</f>
        <v>-</v>
      </c>
      <c r="O52" s="16" t="str">
        <f t="shared" ref="O52:O57" si="157">IF(D52="Pendiente","-",INDEX($CH$6:$CH$53,MATCH($AF52,$BD$6:$BD$53,0)))</f>
        <v>-</v>
      </c>
      <c r="P52" s="16"/>
      <c r="Q52" s="16" t="str">
        <f t="shared" ref="Q52:Q57" si="158">IF(D52="Pendiente","-",INDEX($CN$6:$CN$53,MATCH($AA52,$BD$6:$BD$53,0)))</f>
        <v>-</v>
      </c>
      <c r="R52" s="16" t="str">
        <f t="shared" ref="R52:R57" si="159">IF(D52="Pendiente","-",INDEX($CN$6:$CN$53,MATCH($AF52,$BD$6:$BD$53,0)))</f>
        <v>-</v>
      </c>
      <c r="S52" s="16"/>
      <c r="T52" s="16" t="str">
        <f t="shared" ref="T52:T57" si="160">IF(D52="Pendiente","-",INDEX($CS$6:$CS$53,MATCH($AA52,$BD$6:$BD$53,0)))</f>
        <v>-</v>
      </c>
      <c r="U52" s="16" t="str">
        <f t="shared" ref="U52:U57" si="161">IF(D52="Pendiente","-",INDEX($CS$6:$CS$53,MATCH($AF52,$BD$6:$BD$53,0)))</f>
        <v>-</v>
      </c>
      <c r="V52" s="17"/>
      <c r="W52" s="683" t="s">
        <v>6</v>
      </c>
      <c r="X52" s="24">
        <f ca="1">Horarios!C52</f>
        <v>46188.625</v>
      </c>
      <c r="Y52" s="25">
        <f ca="1">Horarios!C52</f>
        <v>46188.625</v>
      </c>
      <c r="Z52" s="26" t="str">
        <f>$Z$4</f>
        <v>R1</v>
      </c>
      <c r="AA52" s="27" t="str">
        <f ca="1">A53</f>
        <v>Belgium</v>
      </c>
      <c r="AB52" s="49" t="str" cm="1">
        <f t="array" aca="1" ref="AB52" ca="1">Ver_flag_local</f>
        <v>🇧🇪</v>
      </c>
      <c r="AC52" s="50"/>
      <c r="AD52" s="51"/>
      <c r="AE52" s="595" t="str" cm="1">
        <f t="array" aca="1" ref="AE52" ca="1">Ver_flag_visit</f>
        <v>🇪🇬</v>
      </c>
      <c r="AF52" s="32" t="str">
        <f ca="1">A54</f>
        <v>Egypt</v>
      </c>
      <c r="AG52" s="323">
        <f t="shared" ref="AG52:AG57" si="162">IF(NOT(OR(ISBLANK(AC52),ISBLANK(AD52))),1,0)</f>
        <v>0</v>
      </c>
      <c r="AH52" s="195">
        <v>16</v>
      </c>
      <c r="AI52" s="181"/>
      <c r="AJ52" s="59" t="str">
        <f>CONCATENATE($AJ$3," ",B52)</f>
        <v>Group G</v>
      </c>
      <c r="AK52" s="60"/>
      <c r="AL52" s="60"/>
      <c r="AM52" s="60"/>
      <c r="AN52" s="60"/>
      <c r="AO52" s="60"/>
      <c r="AP52" s="60"/>
      <c r="AQ52" s="60"/>
      <c r="AR52" s="60"/>
      <c r="AS52" s="60"/>
      <c r="AT52" s="61"/>
      <c r="AU52" s="331"/>
      <c r="AV52" s="286" t="str">
        <f ca="1">IF(AU53&gt;0,$AV$3,"")</f>
        <v/>
      </c>
      <c r="AW52" s="167"/>
      <c r="AX52" s="167"/>
      <c r="AY52" s="154"/>
      <c r="AZ52" s="155"/>
      <c r="BA52" s="176"/>
      <c r="BC52" s="16" t="str">
        <f ca="1">+INDEX(T_Equipos[Grupo],MATCH(WORLDCUP!BD52,T_Equipos[NombreEquipo],0))</f>
        <v>L</v>
      </c>
      <c r="BD52" s="16" t="str">
        <f ca="1">+Equipos!B48</f>
        <v>Ghana</v>
      </c>
      <c r="BE52" s="16">
        <f t="shared" ca="1" si="16"/>
        <v>0</v>
      </c>
      <c r="BF52" s="16">
        <f t="shared" ca="1" si="41"/>
        <v>0</v>
      </c>
      <c r="BG52" s="16">
        <f t="shared" ca="1" si="17"/>
        <v>0</v>
      </c>
      <c r="BH52" s="16">
        <f t="shared" ca="1" si="18"/>
        <v>0</v>
      </c>
      <c r="BI52" s="16">
        <f t="shared" ca="1" si="19"/>
        <v>0</v>
      </c>
      <c r="BJ52" s="16">
        <f t="shared" ca="1" si="20"/>
        <v>0</v>
      </c>
      <c r="BK52" s="16">
        <f t="shared" ca="1" si="21"/>
        <v>0</v>
      </c>
      <c r="BL52" s="16">
        <f t="shared" ca="1" si="42"/>
        <v>0</v>
      </c>
      <c r="BM52" s="16" t="str">
        <f t="shared" ca="1" si="22"/>
        <v>3L</v>
      </c>
      <c r="BN52" s="16" t="str">
        <f t="shared" ca="1" si="23"/>
        <v>3L</v>
      </c>
      <c r="BO52" s="16">
        <f t="shared" ca="1" si="43"/>
        <v>0</v>
      </c>
      <c r="BP52" s="16">
        <f ca="1">COUNTIFS($BO$6:$BO$53,"&gt;"&amp;BO52,$BC$6:$BC$53,INDEX(T_Equipos[Grupo],MATCH(BD52,T_Equipos[NombreEquipo],0)))+1</f>
        <v>1</v>
      </c>
      <c r="BQ52" s="16" t="str">
        <f ca="1">IF(COUNTIFS($BP$6:$BP$53,BP52,$BC$6:$BC$53,INDEX(T_Equipos[Grupo],MATCH(BD52,T_Equipos[NombreEquipo],0)))=1,"-","P."&amp;BP52&amp;" ("&amp;COUNTIFS($BP$6:$BP$53,BP52,$BC$6:$BC$53,INDEX(T_Equipos[Grupo],MATCH(BD52,T_Equipos[NombreEquipo],0)))&amp;")")</f>
        <v>P.1 (4)</v>
      </c>
      <c r="BR52" s="16">
        <f t="shared" ca="1" si="44"/>
        <v>0</v>
      </c>
      <c r="BS52" s="16">
        <f ca="1">BP52+COUNTIFS($BQ$6:$BQ$53,BQ52,$BR$6:BR$53,"&gt;"&amp;BR52,$BC$6:$BC$53,INDEX(T_Equipos[Grupo],MATCH(BD52,T_Equipos[NombreEquipo],0)))</f>
        <v>1</v>
      </c>
      <c r="BT52" s="16" t="str">
        <f ca="1">IF(COUNTIFS($BS$6:$BS$53,BS52,$BC$6:$BC$53,INDEX(T_Equipos[Grupo],MATCH(BD52,T_Equipos[NombreEquipo],0)))=1,"-","P."&amp;BS52&amp;" ("&amp;COUNTIFS($BS$6:$BS$53,BS52,$BC$6:$BC$53,INDEX(T_Equipos[Grupo],MATCH(BD52,T_Equipos[NombreEquipo],0)))&amp;")")</f>
        <v>P.1 (4)</v>
      </c>
      <c r="BU52" s="16">
        <f t="shared" ca="1" si="24"/>
        <v>0</v>
      </c>
      <c r="BV52" s="16">
        <f t="shared" ca="1" si="25"/>
        <v>0</v>
      </c>
      <c r="BW52" s="16">
        <f t="shared" ca="1" si="26"/>
        <v>0</v>
      </c>
      <c r="BX52" s="16">
        <f t="shared" ca="1" si="48"/>
        <v>0</v>
      </c>
      <c r="BY52" s="16">
        <f ca="1">BS52+COUNTIFS($BT$6:$BT$53,BT52,$BX$6:BX$53,"&gt;"&amp;BX52,$BC$6:$BC$53,INDEX(T_Equipos[Grupo],MATCH(BD52,T_Equipos[NombreEquipo],0)))</f>
        <v>1</v>
      </c>
      <c r="BZ52" s="16" t="str">
        <f ca="1">IF(COUNTIFS($BY$6:$BY$53,BY52,$BC$6:$BC$53,INDEX(T_Equipos[Grupo],MATCH(BD52,T_Equipos[NombreEquipo],0)))=1,"-","P."&amp;BY52&amp;" ("&amp;COUNTIFS($BY$6:$BY$53,BY52,$BC$6:$BC$53,INDEX(T_Equipos[Grupo],MATCH(BD52,T_Equipos[NombreEquipo],0)))&amp;")")</f>
        <v>P.1 (4)</v>
      </c>
      <c r="CA52" s="16">
        <f t="shared" ca="1" si="27"/>
        <v>0</v>
      </c>
      <c r="CB52" s="16">
        <f t="shared" ca="1" si="28"/>
        <v>0</v>
      </c>
      <c r="CC52" s="16">
        <f t="shared" ca="1" si="49"/>
        <v>0</v>
      </c>
      <c r="CD52" s="16">
        <f ca="1">BY52+COUNTIFS($BZ$6:$BZ$53,BZ52,$CC$6:CC$53,"&gt;"&amp;CC52,$BC$6:$BC$53,INDEX(T_Equipos[Grupo],MATCH(BD52,T_Equipos[NombreEquipo],0)))</f>
        <v>1</v>
      </c>
      <c r="CE52" s="16" t="str">
        <f ca="1">IF(COUNTIFS($CD$6:$CD$53,CD52,$BC$6:$BC$53,INDEX(T_Equipos[Grupo],MATCH(BD52,T_Equipos[NombreEquipo],0)))=1,"-","P."&amp;CD52&amp;" ("&amp;COUNTIFS($CD$6:$CD$53,CD52,$BC$6:$BC$53,INDEX(T_Equipos[Grupo],MATCH(BD52,T_Equipos[NombreEquipo],0)))&amp;")")</f>
        <v>P.1 (4)</v>
      </c>
      <c r="CF52" s="16">
        <f t="shared" ca="1" si="29"/>
        <v>0</v>
      </c>
      <c r="CG52" s="16">
        <f ca="1">CD52+COUNTIFS($CE$6:$CE$53,CE52,$CF$6:CF$53,"&gt;"&amp;CF52,$BC$6:$BC$53,INDEX(T_Equipos[Grupo],MATCH(BD52,T_Equipos[NombreEquipo],0)))</f>
        <v>1</v>
      </c>
      <c r="CH52" s="16" t="str">
        <f ca="1">IF(COUNTIFS($CG$6:$CG$53,CG52,$BC$6:$BC$53,INDEX(T_Equipos[Grupo],MATCH(BD52,T_Equipos[NombreEquipo],0)))=1,"-","P."&amp;CG52&amp;" ("&amp;COUNTIFS($CG$6:$CG$53,CG52,$BC$6:$BC$53,INDEX(T_Equipos[Grupo],MATCH(BD52,T_Equipos[NombreEquipo],0)))&amp;")")</f>
        <v>P.1 (4)</v>
      </c>
      <c r="CI52" s="16">
        <f t="shared" ca="1" si="30"/>
        <v>0</v>
      </c>
      <c r="CJ52" s="16">
        <f t="shared" ca="1" si="31"/>
        <v>0</v>
      </c>
      <c r="CK52" s="16">
        <f t="shared" ca="1" si="32"/>
        <v>0</v>
      </c>
      <c r="CL52" s="16">
        <f t="shared" ca="1" si="50"/>
        <v>0</v>
      </c>
      <c r="CM52" s="16">
        <f ca="1">CG52+COUNTIFS($CH$6:$CH$53,CH52,$CL$6:CL$53,"&gt;"&amp;CL52,$BC$6:$BC$53,INDEX(T_Equipos[Grupo],MATCH(BD52,T_Equipos[NombreEquipo],0)))</f>
        <v>1</v>
      </c>
      <c r="CN52" s="16" t="str">
        <f ca="1">IF(COUNTIFS($CM$6:$CM$53,CM52,$BC$6:$BC$53,INDEX(T_Equipos[Grupo],MATCH(BD52,T_Equipos[NombreEquipo],0)))=1,"-","P."&amp;CM52&amp;" ("&amp;COUNTIFS($CM$6:$CM$53,CM52,$BC$6:$BC$53,INDEX(T_Equipos[Grupo],MATCH(BD52,T_Equipos[NombreEquipo],0)))&amp;")")</f>
        <v>P.1 (4)</v>
      </c>
      <c r="CO52" s="16">
        <f t="shared" ca="1" si="33"/>
        <v>0</v>
      </c>
      <c r="CP52" s="16">
        <f t="shared" ca="1" si="34"/>
        <v>0</v>
      </c>
      <c r="CQ52" s="16">
        <f t="shared" ca="1" si="51"/>
        <v>0</v>
      </c>
      <c r="CR52" s="16">
        <f ca="1">CM52+COUNTIFS($CN$6:$CN$53,CN52,$CQ$6:CQ$53,"&gt;"&amp;CQ52,$BC$6:$BC$53,INDEX(T_Equipos[Grupo],MATCH(BD52,T_Equipos[NombreEquipo],0)))</f>
        <v>1</v>
      </c>
      <c r="CS52" s="16" t="str">
        <f ca="1">IF(COUNTIFS($CR$6:$CR$53,CR52,$BC$6:$BC$53,INDEX(T_Equipos[Grupo],MATCH(BD52,T_Equipos[NombreEquipo],0)))=1,"-","P."&amp;CR52&amp;" ("&amp;COUNTIFS($CR$6:$CR$53,CR52,$BC$6:$BC$53,INDEX(T_Equipos[Grupo],MATCH(BD52,T_Equipos[NombreEquipo],0)))&amp;")")</f>
        <v>P.1 (4)</v>
      </c>
      <c r="CT52" s="16">
        <f t="shared" ca="1" si="35"/>
        <v>0</v>
      </c>
      <c r="CU52" s="16">
        <f ca="1">CR52+COUNTIFS($CS$6:$CS$53,CS52,$CT$6:CT$53,"&gt;"&amp;CT52,$BC$6:$BC$53,INDEX(T_Equipos[Grupo],MATCH(BD52,T_Equipos[NombreEquipo],0)))</f>
        <v>1</v>
      </c>
      <c r="CV52" s="16" t="str">
        <f ca="1">IF(COUNTIFS($CU$6:$CU$53,CU52,$BC$6:$BC$53,INDEX(T_Equipos[Grupo],MATCH(BD52,T_Equipos[NombreEquipo],0)))=1,"-","P."&amp;CU52&amp;" ("&amp;COUNTIFS($CU$6:$CU$53,CU52,$BC$6:$BC$53,INDEX(T_Equipos[Grupo],MATCH(BD52,T_Equipos[NombreEquipo],0)))&amp;")")</f>
        <v>P.1 (4)</v>
      </c>
      <c r="CW52" s="16">
        <f t="shared" ca="1" si="36"/>
        <v>0</v>
      </c>
      <c r="CX52" s="16">
        <f ca="1">CU52+COUNTIFS($CV$6:$CV$53,CV52,$CW$6:CW$53,"&gt;"&amp;CW52,$BC$6:$BC$53,INDEX(T_Equipos[Grupo],MATCH(BD52,T_Equipos[NombreEquipo],0)))</f>
        <v>1</v>
      </c>
      <c r="CY52" s="16" t="str">
        <f ca="1">IF(COUNTIFS($CX$6:$CX$53,CX52,$BC$6:$BC$53,INDEX(T_Equipos[Grupo],MATCH(BD52,T_Equipos[NombreEquipo],0)))=1,"-","P."&amp;CX52&amp;" ("&amp;COUNTIFS($CX$6:$CX$53,CX52,$BC$6:$BC$53,INDEX(T_Equipos[Grupo],MATCH(BD52,T_Equipos[NombreEquipo],0)))&amp;")")</f>
        <v>P.1 (4)</v>
      </c>
      <c r="CZ52" s="16">
        <f t="shared" ca="1" si="37"/>
        <v>0</v>
      </c>
      <c r="DA52" s="16">
        <f ca="1">CX52+COUNTIFS($CY$6:$CY$53,CY52,$CZ$6:CZ$53,"&gt;"&amp;CZ52,$BC$6:$BC$53,INDEX(T_Equipos[Grupo],MATCH(BD52,T_Equipos[NombreEquipo],0)))</f>
        <v>1</v>
      </c>
      <c r="DB52" s="16" t="str">
        <f ca="1">IF(COUNTIFS($DA$6:$DA$53,DA52,$BC$6:$BC$53,INDEX(T_Equipos[Grupo],MATCH(BD52,T_Equipos[NombreEquipo],0)))=1,"-","P."&amp;DA52&amp;" ("&amp;COUNTIFS($DA$6:$DA$53,DA52,$BC$6:$BC$53,INDEX(T_Equipos[Grupo],MATCH(BD52,T_Equipos[NombreEquipo],0)))&amp;")")</f>
        <v>P.1 (4)</v>
      </c>
      <c r="DC52" s="16">
        <f ca="1">IF(DB52="-","-",COUNTIFS(T_Equipos[Rank],"&lt;"&amp;INDEX(T_Equipos[Rank],MATCH(BD52,T_Equipos[NombreEquipo],0)),$BC$6:$BC$53,INDEX(T_Equipos[Grupo],MATCH(BD52,T_Equipos[NombreEquipo],0)))+1)</f>
        <v>3</v>
      </c>
      <c r="DD52" s="16">
        <f ca="1">DA52+COUNTIFS($DB$6:$DB$53,DB52,$DC$6:DC$53,"&lt;"&amp;DC52,$BC$6:$BC$53,INDEX(T_Equipos[Grupo],MATCH(BD52,T_Equipos[NombreEquipo],0)))</f>
        <v>3</v>
      </c>
      <c r="DE52" s="16"/>
      <c r="DF52" s="16">
        <f t="shared" ca="1" si="52"/>
        <v>3</v>
      </c>
      <c r="DG52" s="16">
        <f ca="1">IF(DB52="-","-",COUNTIFS(DF$6:DF$53,"&lt;"&amp;DF52,$BC$6:$BC$53,INDEX(T_Equipos[Grupo],MATCH(BD52,T_Equipos[NombreEquipo],0))))</f>
        <v>2</v>
      </c>
      <c r="DH52" s="16">
        <f ca="1">DA52+COUNTIFS(DB$6:DB$53,DB52,DG$6:DG$53,"&lt;"&amp;DG52,$BC$6:$BC$53,INDEX(T_Equipos[Grupo],MATCH(BD52,T_Equipos[NombreEquipo],0)))</f>
        <v>3</v>
      </c>
      <c r="DI52" s="16"/>
      <c r="DJ52" s="16">
        <f t="shared" ca="1" si="38"/>
        <v>1</v>
      </c>
      <c r="DK52" s="16">
        <f t="shared" ca="1" si="39"/>
        <v>0</v>
      </c>
      <c r="DL52" s="16">
        <f t="shared" ca="1" si="40"/>
        <v>1</v>
      </c>
      <c r="DM52" s="16" t="str">
        <f t="shared" ca="1" si="46"/>
        <v>1.1</v>
      </c>
      <c r="DN52" s="16" cm="1">
        <f t="array" aca="1" ref="DN52" ca="1">OFFSET(Horarios!$P$3,DJ52-1,0,DL52,1)</f>
        <v>1</v>
      </c>
      <c r="DO52" s="16"/>
      <c r="DP52" s="16" t="s">
        <v>453</v>
      </c>
      <c r="DQ52" s="16" t="str">
        <f t="shared" ca="1" si="47"/>
        <v>Ghana</v>
      </c>
    </row>
    <row r="53" spans="1:121" ht="16" customHeight="1" x14ac:dyDescent="0.2">
      <c r="A53" s="16" t="str">
        <f ca="1">+Equipos!B26</f>
        <v>Belgium</v>
      </c>
      <c r="B53" s="16"/>
      <c r="C53" s="16"/>
      <c r="D53" s="16" t="str">
        <f t="shared" si="149"/>
        <v>Pendiente</v>
      </c>
      <c r="E53" s="16" t="str">
        <f t="shared" si="150"/>
        <v>-</v>
      </c>
      <c r="F53" s="16" t="str">
        <f t="shared" si="151"/>
        <v>-</v>
      </c>
      <c r="G53" s="16"/>
      <c r="H53" s="16" t="str">
        <f t="shared" si="152"/>
        <v>-</v>
      </c>
      <c r="I53" s="16" t="str">
        <f t="shared" si="153"/>
        <v>-</v>
      </c>
      <c r="J53" s="16"/>
      <c r="K53" s="16" t="str">
        <f t="shared" si="154"/>
        <v>-</v>
      </c>
      <c r="L53" s="16" t="str">
        <f t="shared" si="155"/>
        <v>-</v>
      </c>
      <c r="M53" s="16"/>
      <c r="N53" s="16" t="str">
        <f t="shared" si="156"/>
        <v>-</v>
      </c>
      <c r="O53" s="16" t="str">
        <f t="shared" si="157"/>
        <v>-</v>
      </c>
      <c r="P53" s="16"/>
      <c r="Q53" s="16" t="str">
        <f t="shared" si="158"/>
        <v>-</v>
      </c>
      <c r="R53" s="16" t="str">
        <f t="shared" si="159"/>
        <v>-</v>
      </c>
      <c r="S53" s="16"/>
      <c r="T53" s="16" t="str">
        <f t="shared" si="160"/>
        <v>-</v>
      </c>
      <c r="U53" s="16" t="str">
        <f t="shared" si="161"/>
        <v>-</v>
      </c>
      <c r="V53" s="17"/>
      <c r="W53" s="683"/>
      <c r="X53" s="24">
        <f ca="1">Horarios!C53</f>
        <v>46188.875</v>
      </c>
      <c r="Y53" s="25">
        <f ca="1">Horarios!C53</f>
        <v>46188.875</v>
      </c>
      <c r="Z53" s="26" t="str">
        <f>$Z$4</f>
        <v>R1</v>
      </c>
      <c r="AA53" s="27" t="str">
        <f ca="1">A55</f>
        <v>Iran</v>
      </c>
      <c r="AB53" s="49" t="str" cm="1">
        <f t="array" aca="1" ref="AB53" ca="1">Ver_flag_local</f>
        <v>🇮🇷</v>
      </c>
      <c r="AC53" s="50"/>
      <c r="AD53" s="51"/>
      <c r="AE53" s="595" t="str" cm="1">
        <f t="array" aca="1" ref="AE53" ca="1">Ver_flag_visit</f>
        <v>🇳🇿</v>
      </c>
      <c r="AF53" s="32" t="str">
        <f ca="1">A56</f>
        <v>New Zealand</v>
      </c>
      <c r="AG53" s="323">
        <f t="shared" si="162"/>
        <v>0</v>
      </c>
      <c r="AH53" s="195">
        <v>15</v>
      </c>
      <c r="AI53" s="181"/>
      <c r="AJ53" s="62" t="str">
        <f>AJ5</f>
        <v>Pos</v>
      </c>
      <c r="AK53" s="63"/>
      <c r="AL53" s="64" t="str">
        <f t="shared" ref="AL53:AT53" si="163">AL5</f>
        <v>Nation</v>
      </c>
      <c r="AM53" s="63" t="str">
        <f t="shared" si="163"/>
        <v>Pts</v>
      </c>
      <c r="AN53" s="63" t="str">
        <f t="shared" si="163"/>
        <v>P</v>
      </c>
      <c r="AO53" s="63" t="str">
        <f t="shared" si="163"/>
        <v>W</v>
      </c>
      <c r="AP53" s="63" t="str">
        <f t="shared" si="163"/>
        <v>D</v>
      </c>
      <c r="AQ53" s="63" t="str">
        <f t="shared" si="163"/>
        <v>L</v>
      </c>
      <c r="AR53" s="63" t="str">
        <f t="shared" si="163"/>
        <v>F</v>
      </c>
      <c r="AS53" s="63" t="str">
        <f t="shared" si="163"/>
        <v>A</v>
      </c>
      <c r="AT53" s="65" t="str">
        <f t="shared" si="163"/>
        <v>GD</v>
      </c>
      <c r="AU53" s="331">
        <f t="shared" ref="AU53" ca="1" si="164">COUNTIF(AU54:AU57,"&gt;1")</f>
        <v>0</v>
      </c>
      <c r="AV53" s="192"/>
      <c r="AW53" s="167"/>
      <c r="AX53" s="167"/>
      <c r="AY53" s="207" t="str">
        <f>AL53</f>
        <v>Nation</v>
      </c>
      <c r="AZ53" s="208" t="str">
        <f>+Idiomas!$D$67</f>
        <v>Deducted Points</v>
      </c>
      <c r="BA53" s="176"/>
      <c r="BC53" s="16" t="str">
        <f ca="1">+INDEX(T_Equipos[Grupo],MATCH(WORLDCUP!BD53,T_Equipos[NombreEquipo],0))</f>
        <v>L</v>
      </c>
      <c r="BD53" s="16" t="str">
        <f ca="1">+Equipos!B49</f>
        <v>Panama</v>
      </c>
      <c r="BE53" s="16">
        <f t="shared" ca="1" si="16"/>
        <v>0</v>
      </c>
      <c r="BF53" s="16">
        <f t="shared" ca="1" si="41"/>
        <v>0</v>
      </c>
      <c r="BG53" s="16">
        <f t="shared" ca="1" si="17"/>
        <v>0</v>
      </c>
      <c r="BH53" s="16">
        <f t="shared" ca="1" si="18"/>
        <v>0</v>
      </c>
      <c r="BI53" s="16">
        <f t="shared" ca="1" si="19"/>
        <v>0</v>
      </c>
      <c r="BJ53" s="16">
        <f t="shared" ca="1" si="20"/>
        <v>0</v>
      </c>
      <c r="BK53" s="16">
        <f t="shared" ca="1" si="21"/>
        <v>0</v>
      </c>
      <c r="BL53" s="16">
        <f t="shared" ca="1" si="42"/>
        <v>0</v>
      </c>
      <c r="BM53" s="16" t="str">
        <f t="shared" ca="1" si="22"/>
        <v>4L</v>
      </c>
      <c r="BN53" s="16" t="str">
        <f t="shared" ca="1" si="23"/>
        <v>4L</v>
      </c>
      <c r="BO53" s="16">
        <f t="shared" ca="1" si="43"/>
        <v>0</v>
      </c>
      <c r="BP53" s="16">
        <f ca="1">COUNTIFS($BO$6:$BO$53,"&gt;"&amp;BO53,$BC$6:$BC$53,INDEX(T_Equipos[Grupo],MATCH(BD53,T_Equipos[NombreEquipo],0)))+1</f>
        <v>1</v>
      </c>
      <c r="BQ53" s="16" t="str">
        <f ca="1">IF(COUNTIFS($BP$6:$BP$53,BP53,$BC$6:$BC$53,INDEX(T_Equipos[Grupo],MATCH(BD53,T_Equipos[NombreEquipo],0)))=1,"-","P."&amp;BP53&amp;" ("&amp;COUNTIFS($BP$6:$BP$53,BP53,$BC$6:$BC$53,INDEX(T_Equipos[Grupo],MATCH(BD53,T_Equipos[NombreEquipo],0)))&amp;")")</f>
        <v>P.1 (4)</v>
      </c>
      <c r="BR53" s="16">
        <f t="shared" ca="1" si="44"/>
        <v>0</v>
      </c>
      <c r="BS53" s="16">
        <f ca="1">BP53+COUNTIFS($BQ$6:$BQ$53,BQ53,$BR$6:BR$53,"&gt;"&amp;BR53,$BC$6:$BC$53,INDEX(T_Equipos[Grupo],MATCH(BD53,T_Equipos[NombreEquipo],0)))</f>
        <v>1</v>
      </c>
      <c r="BT53" s="16" t="str">
        <f ca="1">IF(COUNTIFS($BS$6:$BS$53,BS53,$BC$6:$BC$53,INDEX(T_Equipos[Grupo],MATCH(BD53,T_Equipos[NombreEquipo],0)))=1,"-","P."&amp;BS53&amp;" ("&amp;COUNTIFS($BS$6:$BS$53,BS53,$BC$6:$BC$53,INDEX(T_Equipos[Grupo],MATCH(BD53,T_Equipos[NombreEquipo],0)))&amp;")")</f>
        <v>P.1 (4)</v>
      </c>
      <c r="BU53" s="16">
        <f t="shared" ca="1" si="24"/>
        <v>0</v>
      </c>
      <c r="BV53" s="16">
        <f t="shared" ca="1" si="25"/>
        <v>0</v>
      </c>
      <c r="BW53" s="16">
        <f t="shared" ca="1" si="26"/>
        <v>0</v>
      </c>
      <c r="BX53" s="16">
        <f t="shared" ca="1" si="48"/>
        <v>0</v>
      </c>
      <c r="BY53" s="16">
        <f ca="1">BS53+COUNTIFS($BT$6:$BT$53,BT53,$BX$6:BX$53,"&gt;"&amp;BX53,$BC$6:$BC$53,INDEX(T_Equipos[Grupo],MATCH(BD53,T_Equipos[NombreEquipo],0)))</f>
        <v>1</v>
      </c>
      <c r="BZ53" s="16" t="str">
        <f ca="1">IF(COUNTIFS($BY$6:$BY$53,BY53,$BC$6:$BC$53,INDEX(T_Equipos[Grupo],MATCH(BD53,T_Equipos[NombreEquipo],0)))=1,"-","P."&amp;BY53&amp;" ("&amp;COUNTIFS($BY$6:$BY$53,BY53,$BC$6:$BC$53,INDEX(T_Equipos[Grupo],MATCH(BD53,T_Equipos[NombreEquipo],0)))&amp;")")</f>
        <v>P.1 (4)</v>
      </c>
      <c r="CA53" s="16">
        <f t="shared" ca="1" si="27"/>
        <v>0</v>
      </c>
      <c r="CB53" s="16">
        <f t="shared" ca="1" si="28"/>
        <v>0</v>
      </c>
      <c r="CC53" s="16">
        <f t="shared" ca="1" si="49"/>
        <v>0</v>
      </c>
      <c r="CD53" s="16">
        <f ca="1">BY53+COUNTIFS($BZ$6:$BZ$53,BZ53,$CC$6:CC$53,"&gt;"&amp;CC53,$BC$6:$BC$53,INDEX(T_Equipos[Grupo],MATCH(BD53,T_Equipos[NombreEquipo],0)))</f>
        <v>1</v>
      </c>
      <c r="CE53" s="16" t="str">
        <f ca="1">IF(COUNTIFS($CD$6:$CD$53,CD53,$BC$6:$BC$53,INDEX(T_Equipos[Grupo],MATCH(BD53,T_Equipos[NombreEquipo],0)))=1,"-","P."&amp;CD53&amp;" ("&amp;COUNTIFS($CD$6:$CD$53,CD53,$BC$6:$BC$53,INDEX(T_Equipos[Grupo],MATCH(BD53,T_Equipos[NombreEquipo],0)))&amp;")")</f>
        <v>P.1 (4)</v>
      </c>
      <c r="CF53" s="16">
        <f t="shared" ca="1" si="29"/>
        <v>0</v>
      </c>
      <c r="CG53" s="16">
        <f ca="1">CD53+COUNTIFS($CE$6:$CE$53,CE53,$CF$6:CF$53,"&gt;"&amp;CF53,$BC$6:$BC$53,INDEX(T_Equipos[Grupo],MATCH(BD53,T_Equipos[NombreEquipo],0)))</f>
        <v>1</v>
      </c>
      <c r="CH53" s="16" t="str">
        <f ca="1">IF(COUNTIFS($CG$6:$CG$53,CG53,$BC$6:$BC$53,INDEX(T_Equipos[Grupo],MATCH(BD53,T_Equipos[NombreEquipo],0)))=1,"-","P."&amp;CG53&amp;" ("&amp;COUNTIFS($CG$6:$CG$53,CG53,$BC$6:$BC$53,INDEX(T_Equipos[Grupo],MATCH(BD53,T_Equipos[NombreEquipo],0)))&amp;")")</f>
        <v>P.1 (4)</v>
      </c>
      <c r="CI53" s="16">
        <f t="shared" ca="1" si="30"/>
        <v>0</v>
      </c>
      <c r="CJ53" s="16">
        <f t="shared" ca="1" si="31"/>
        <v>0</v>
      </c>
      <c r="CK53" s="16">
        <f t="shared" ca="1" si="32"/>
        <v>0</v>
      </c>
      <c r="CL53" s="16">
        <f t="shared" ca="1" si="50"/>
        <v>0</v>
      </c>
      <c r="CM53" s="16">
        <f ca="1">CG53+COUNTIFS($CH$6:$CH$53,CH53,$CL$6:CL$53,"&gt;"&amp;CL53,$BC$6:$BC$53,INDEX(T_Equipos[Grupo],MATCH(BD53,T_Equipos[NombreEquipo],0)))</f>
        <v>1</v>
      </c>
      <c r="CN53" s="16" t="str">
        <f ca="1">IF(COUNTIFS($CM$6:$CM$53,CM53,$BC$6:$BC$53,INDEX(T_Equipos[Grupo],MATCH(BD53,T_Equipos[NombreEquipo],0)))=1,"-","P."&amp;CM53&amp;" ("&amp;COUNTIFS($CM$6:$CM$53,CM53,$BC$6:$BC$53,INDEX(T_Equipos[Grupo],MATCH(BD53,T_Equipos[NombreEquipo],0)))&amp;")")</f>
        <v>P.1 (4)</v>
      </c>
      <c r="CO53" s="16">
        <f t="shared" ca="1" si="33"/>
        <v>0</v>
      </c>
      <c r="CP53" s="16">
        <f t="shared" ca="1" si="34"/>
        <v>0</v>
      </c>
      <c r="CQ53" s="16">
        <f t="shared" ca="1" si="51"/>
        <v>0</v>
      </c>
      <c r="CR53" s="16">
        <f ca="1">CM53+COUNTIFS($CN$6:$CN$53,CN53,$CQ$6:CQ$53,"&gt;"&amp;CQ53,$BC$6:$BC$53,INDEX(T_Equipos[Grupo],MATCH(BD53,T_Equipos[NombreEquipo],0)))</f>
        <v>1</v>
      </c>
      <c r="CS53" s="16" t="str">
        <f ca="1">IF(COUNTIFS($CR$6:$CR$53,CR53,$BC$6:$BC$53,INDEX(T_Equipos[Grupo],MATCH(BD53,T_Equipos[NombreEquipo],0)))=1,"-","P."&amp;CR53&amp;" ("&amp;COUNTIFS($CR$6:$CR$53,CR53,$BC$6:$BC$53,INDEX(T_Equipos[Grupo],MATCH(BD53,T_Equipos[NombreEquipo],0)))&amp;")")</f>
        <v>P.1 (4)</v>
      </c>
      <c r="CT53" s="16">
        <f t="shared" ca="1" si="35"/>
        <v>0</v>
      </c>
      <c r="CU53" s="16">
        <f ca="1">CR53+COUNTIFS($CS$6:$CS$53,CS53,$CT$6:CT$53,"&gt;"&amp;CT53,$BC$6:$BC$53,INDEX(T_Equipos[Grupo],MATCH(BD53,T_Equipos[NombreEquipo],0)))</f>
        <v>1</v>
      </c>
      <c r="CV53" s="16" t="str">
        <f ca="1">IF(COUNTIFS($CU$6:$CU$53,CU53,$BC$6:$BC$53,INDEX(T_Equipos[Grupo],MATCH(BD53,T_Equipos[NombreEquipo],0)))=1,"-","P."&amp;CU53&amp;" ("&amp;COUNTIFS($CU$6:$CU$53,CU53,$BC$6:$BC$53,INDEX(T_Equipos[Grupo],MATCH(BD53,T_Equipos[NombreEquipo],0)))&amp;")")</f>
        <v>P.1 (4)</v>
      </c>
      <c r="CW53" s="16">
        <f t="shared" ca="1" si="36"/>
        <v>0</v>
      </c>
      <c r="CX53" s="16">
        <f ca="1">CU53+COUNTIFS($CV$6:$CV$53,CV53,$CW$6:CW$53,"&gt;"&amp;CW53,$BC$6:$BC$53,INDEX(T_Equipos[Grupo],MATCH(BD53,T_Equipos[NombreEquipo],0)))</f>
        <v>1</v>
      </c>
      <c r="CY53" s="16" t="str">
        <f ca="1">IF(COUNTIFS($CX$6:$CX$53,CX53,$BC$6:$BC$53,INDEX(T_Equipos[Grupo],MATCH(BD53,T_Equipos[NombreEquipo],0)))=1,"-","P."&amp;CX53&amp;" ("&amp;COUNTIFS($CX$6:$CX$53,CX53,$BC$6:$BC$53,INDEX(T_Equipos[Grupo],MATCH(BD53,T_Equipos[NombreEquipo],0)))&amp;")")</f>
        <v>P.1 (4)</v>
      </c>
      <c r="CZ53" s="16">
        <f t="shared" ca="1" si="37"/>
        <v>0</v>
      </c>
      <c r="DA53" s="16">
        <f ca="1">CX53+COUNTIFS($CY$6:$CY$53,CY53,$CZ$6:CZ$53,"&gt;"&amp;CZ53,$BC$6:$BC$53,INDEX(T_Equipos[Grupo],MATCH(BD53,T_Equipos[NombreEquipo],0)))</f>
        <v>1</v>
      </c>
      <c r="DB53" s="16" t="str">
        <f ca="1">IF(COUNTIFS($DA$6:$DA$53,DA53,$BC$6:$BC$53,INDEX(T_Equipos[Grupo],MATCH(BD53,T_Equipos[NombreEquipo],0)))=1,"-","P."&amp;DA53&amp;" ("&amp;COUNTIFS($DA$6:$DA$53,DA53,$BC$6:$BC$53,INDEX(T_Equipos[Grupo],MATCH(BD53,T_Equipos[NombreEquipo],0)))&amp;")")</f>
        <v>P.1 (4)</v>
      </c>
      <c r="DC53" s="16">
        <f ca="1">IF(DB53="-","-",COUNTIFS(T_Equipos[Rank],"&lt;"&amp;INDEX(T_Equipos[Rank],MATCH(BD53,T_Equipos[NombreEquipo],0)),$BC$6:$BC$53,INDEX(T_Equipos[Grupo],MATCH(BD53,T_Equipos[NombreEquipo],0)))+1)</f>
        <v>4</v>
      </c>
      <c r="DD53" s="16">
        <f ca="1">DA53+COUNTIFS($DB$6:$DB$53,DB53,$DC$6:DC$53,"&lt;"&amp;DC53,$BC$6:$BC$53,INDEX(T_Equipos[Grupo],MATCH(BD53,T_Equipos[NombreEquipo],0)))</f>
        <v>4</v>
      </c>
      <c r="DE53" s="16"/>
      <c r="DF53" s="16">
        <f t="shared" ca="1" si="52"/>
        <v>4</v>
      </c>
      <c r="DG53" s="16">
        <f ca="1">IF(DB53="-","-",COUNTIFS(DF$6:DF$53,"&lt;"&amp;DF53,$BC$6:$BC$53,INDEX(T_Equipos[Grupo],MATCH(BD53,T_Equipos[NombreEquipo],0))))</f>
        <v>3</v>
      </c>
      <c r="DH53" s="16">
        <f ca="1">DA53+COUNTIFS(DB$6:DB$53,DB53,DG$6:DG$53,"&lt;"&amp;DG53,$BC$6:$BC$53,INDEX(T_Equipos[Grupo],MATCH(BD53,T_Equipos[NombreEquipo],0)))</f>
        <v>4</v>
      </c>
      <c r="DI53" s="16"/>
      <c r="DJ53" s="16">
        <f t="shared" ca="1" si="38"/>
        <v>1</v>
      </c>
      <c r="DK53" s="16">
        <f t="shared" ca="1" si="39"/>
        <v>0</v>
      </c>
      <c r="DL53" s="16">
        <f t="shared" ca="1" si="40"/>
        <v>1</v>
      </c>
      <c r="DM53" s="16" t="str">
        <f t="shared" ca="1" si="46"/>
        <v>1.1</v>
      </c>
      <c r="DN53" s="16" cm="1">
        <f t="array" aca="1" ref="DN53" ca="1">OFFSET(Horarios!$P$3,DJ53-1,0,DL53,1)</f>
        <v>1</v>
      </c>
      <c r="DO53" s="16"/>
      <c r="DP53" s="16" t="s">
        <v>695</v>
      </c>
      <c r="DQ53" s="16" t="str">
        <f t="shared" ca="1" si="47"/>
        <v>Panama</v>
      </c>
    </row>
    <row r="54" spans="1:121" ht="16" customHeight="1" x14ac:dyDescent="0.2">
      <c r="A54" s="16" t="str">
        <f ca="1">+Equipos!B27</f>
        <v>Egypt</v>
      </c>
      <c r="B54" s="16"/>
      <c r="C54" s="16"/>
      <c r="D54" s="16" t="str">
        <f t="shared" si="149"/>
        <v>Pendiente</v>
      </c>
      <c r="E54" s="16" t="str">
        <f t="shared" si="150"/>
        <v>-</v>
      </c>
      <c r="F54" s="16" t="str">
        <f t="shared" si="151"/>
        <v>-</v>
      </c>
      <c r="G54" s="16"/>
      <c r="H54" s="16" t="str">
        <f t="shared" si="152"/>
        <v>-</v>
      </c>
      <c r="I54" s="16" t="str">
        <f t="shared" si="153"/>
        <v>-</v>
      </c>
      <c r="J54" s="16"/>
      <c r="K54" s="16" t="str">
        <f t="shared" si="154"/>
        <v>-</v>
      </c>
      <c r="L54" s="16" t="str">
        <f t="shared" si="155"/>
        <v>-</v>
      </c>
      <c r="M54" s="16"/>
      <c r="N54" s="16" t="str">
        <f t="shared" si="156"/>
        <v>-</v>
      </c>
      <c r="O54" s="16" t="str">
        <f t="shared" si="157"/>
        <v>-</v>
      </c>
      <c r="P54" s="16"/>
      <c r="Q54" s="16" t="str">
        <f t="shared" si="158"/>
        <v>-</v>
      </c>
      <c r="R54" s="16" t="str">
        <f t="shared" si="159"/>
        <v>-</v>
      </c>
      <c r="S54" s="16"/>
      <c r="T54" s="16" t="str">
        <f t="shared" si="160"/>
        <v>-</v>
      </c>
      <c r="U54" s="16" t="str">
        <f t="shared" si="161"/>
        <v>-</v>
      </c>
      <c r="V54" s="17"/>
      <c r="W54" s="683"/>
      <c r="X54" s="24">
        <f ca="1">Horarios!C54</f>
        <v>46194.625</v>
      </c>
      <c r="Y54" s="25">
        <f ca="1">Horarios!C54</f>
        <v>46194.625</v>
      </c>
      <c r="Z54" s="26" t="str">
        <f>$Z$6</f>
        <v>R2</v>
      </c>
      <c r="AA54" s="27" t="str">
        <f ca="1">A53</f>
        <v>Belgium</v>
      </c>
      <c r="AB54" s="49" t="str" cm="1">
        <f t="array" aca="1" ref="AB54" ca="1">Ver_flag_local</f>
        <v>🇧🇪</v>
      </c>
      <c r="AC54" s="50"/>
      <c r="AD54" s="51"/>
      <c r="AE54" s="595" t="str" cm="1">
        <f t="array" aca="1" ref="AE54" ca="1">Ver_flag_visit</f>
        <v>🇮🇷</v>
      </c>
      <c r="AF54" s="32" t="str">
        <f ca="1">A55</f>
        <v>Iran</v>
      </c>
      <c r="AG54" s="323">
        <f t="shared" si="162"/>
        <v>0</v>
      </c>
      <c r="AH54" s="195">
        <v>39</v>
      </c>
      <c r="AI54" s="181" t="str">
        <f>AJ54&amp;$B$52</f>
        <v>1G</v>
      </c>
      <c r="AJ54" s="40">
        <v>1</v>
      </c>
      <c r="AK54" s="601" t="str" cm="1">
        <f t="array" aca="1" ref="AK54" ca="1">Ver_flag_visit</f>
        <v>🇧🇪</v>
      </c>
      <c r="AL54" s="34" t="str">
        <f ca="1">IFERROR(INDEX($BD$6:$BD$53,MATCH(AI54,$BN$6:$BN$53,0)),"")</f>
        <v>Belgium</v>
      </c>
      <c r="AM54" s="35">
        <f t="shared" ref="AM54:AT57" ca="1" si="165">INDEX($BE$6:$BN$53,MATCH($AL54,$BD$6:$BD$53,0),MATCH(AM$5,$BE$5:$BN$5,0))</f>
        <v>0</v>
      </c>
      <c r="AN54" s="36">
        <f t="shared" ca="1" si="165"/>
        <v>0</v>
      </c>
      <c r="AO54" s="36">
        <f t="shared" ca="1" si="165"/>
        <v>0</v>
      </c>
      <c r="AP54" s="36">
        <f t="shared" ca="1" si="165"/>
        <v>0</v>
      </c>
      <c r="AQ54" s="36">
        <f t="shared" ca="1" si="165"/>
        <v>0</v>
      </c>
      <c r="AR54" s="36">
        <f t="shared" ca="1" si="165"/>
        <v>0</v>
      </c>
      <c r="AS54" s="36">
        <f t="shared" ca="1" si="165"/>
        <v>0</v>
      </c>
      <c r="AT54" s="41">
        <f t="shared" ca="1" si="165"/>
        <v>0</v>
      </c>
      <c r="AU54" s="330">
        <f ca="1">INDEX($DL$6:$DL$53,MATCH(AI54,$DP$6:$DP$53,0))</f>
        <v>1</v>
      </c>
      <c r="AV54" s="182" t="str">
        <f ca="1">INDEX($BD$6:$BD$53,MATCH(AI54,$BM$6:$BM$53,0))</f>
        <v>Belgium</v>
      </c>
      <c r="AW54" s="210"/>
      <c r="AX54" s="171"/>
      <c r="AY54" s="201" t="str">
        <f ca="1">+A53</f>
        <v>Belgium</v>
      </c>
      <c r="AZ54" s="202"/>
      <c r="BA54" s="176"/>
    </row>
    <row r="55" spans="1:121" ht="16" customHeight="1" x14ac:dyDescent="0.2">
      <c r="A55" s="16" t="str">
        <f ca="1">+Equipos!B28</f>
        <v>Iran</v>
      </c>
      <c r="B55" s="16"/>
      <c r="C55" s="16"/>
      <c r="D55" s="16" t="str">
        <f t="shared" si="149"/>
        <v>Pendiente</v>
      </c>
      <c r="E55" s="16" t="str">
        <f t="shared" si="150"/>
        <v>-</v>
      </c>
      <c r="F55" s="16" t="str">
        <f t="shared" si="151"/>
        <v>-</v>
      </c>
      <c r="G55" s="16"/>
      <c r="H55" s="16" t="str">
        <f t="shared" si="152"/>
        <v>-</v>
      </c>
      <c r="I55" s="16" t="str">
        <f t="shared" si="153"/>
        <v>-</v>
      </c>
      <c r="J55" s="16"/>
      <c r="K55" s="16" t="str">
        <f t="shared" si="154"/>
        <v>-</v>
      </c>
      <c r="L55" s="16" t="str">
        <f t="shared" si="155"/>
        <v>-</v>
      </c>
      <c r="M55" s="16"/>
      <c r="N55" s="16" t="str">
        <f t="shared" si="156"/>
        <v>-</v>
      </c>
      <c r="O55" s="16" t="str">
        <f t="shared" si="157"/>
        <v>-</v>
      </c>
      <c r="P55" s="16"/>
      <c r="Q55" s="16" t="str">
        <f t="shared" si="158"/>
        <v>-</v>
      </c>
      <c r="R55" s="16" t="str">
        <f t="shared" si="159"/>
        <v>-</v>
      </c>
      <c r="S55" s="16"/>
      <c r="T55" s="16" t="str">
        <f t="shared" si="160"/>
        <v>-</v>
      </c>
      <c r="U55" s="16" t="str">
        <f t="shared" si="161"/>
        <v>-</v>
      </c>
      <c r="V55" s="17"/>
      <c r="W55" s="683"/>
      <c r="X55" s="24">
        <f ca="1">Horarios!C55</f>
        <v>46194.875</v>
      </c>
      <c r="Y55" s="25">
        <f ca="1">Horarios!C55</f>
        <v>46194.875</v>
      </c>
      <c r="Z55" s="26" t="str">
        <f>$Z$6</f>
        <v>R2</v>
      </c>
      <c r="AA55" s="27" t="str">
        <f ca="1">A56</f>
        <v>New Zealand</v>
      </c>
      <c r="AB55" s="49" t="str" cm="1">
        <f t="array" aca="1" ref="AB55" ca="1">Ver_flag_local</f>
        <v>🇳🇿</v>
      </c>
      <c r="AC55" s="50"/>
      <c r="AD55" s="51"/>
      <c r="AE55" s="595" t="str" cm="1">
        <f t="array" aca="1" ref="AE55" ca="1">Ver_flag_visit</f>
        <v>🇪🇬</v>
      </c>
      <c r="AF55" s="32" t="str">
        <f ca="1">A54</f>
        <v>Egypt</v>
      </c>
      <c r="AG55" s="323">
        <f t="shared" si="162"/>
        <v>0</v>
      </c>
      <c r="AH55" s="195">
        <v>40</v>
      </c>
      <c r="AI55" s="181" t="str">
        <f t="shared" ref="AI55:AI57" si="166">AJ55&amp;$B$52</f>
        <v>2G</v>
      </c>
      <c r="AJ55" s="42">
        <v>2</v>
      </c>
      <c r="AK55" s="602" t="str" cm="1">
        <f t="array" aca="1" ref="AK55" ca="1">Ver_flag_visit</f>
        <v>🇪🇬</v>
      </c>
      <c r="AL55" s="37" t="str">
        <f ca="1">IFERROR(INDEX($BD$6:$BD$53,MATCH(AI55,$BN$6:$BN$53,0)),"")</f>
        <v>Egypt</v>
      </c>
      <c r="AM55" s="38">
        <f t="shared" ca="1" si="165"/>
        <v>0</v>
      </c>
      <c r="AN55" s="39">
        <f t="shared" ca="1" si="165"/>
        <v>0</v>
      </c>
      <c r="AO55" s="39">
        <f t="shared" ca="1" si="165"/>
        <v>0</v>
      </c>
      <c r="AP55" s="39">
        <f t="shared" ca="1" si="165"/>
        <v>0</v>
      </c>
      <c r="AQ55" s="39">
        <f t="shared" ca="1" si="165"/>
        <v>0</v>
      </c>
      <c r="AR55" s="39">
        <f t="shared" ca="1" si="165"/>
        <v>0</v>
      </c>
      <c r="AS55" s="39">
        <f t="shared" ca="1" si="165"/>
        <v>0</v>
      </c>
      <c r="AT55" s="43">
        <f t="shared" ca="1" si="165"/>
        <v>0</v>
      </c>
      <c r="AU55" s="330">
        <f ca="1">INDEX($DL$6:$DL$53,MATCH(AI55,$DP$6:$DP$53,0))</f>
        <v>1</v>
      </c>
      <c r="AV55" s="182" t="str">
        <f ca="1">INDEX($BD$6:$BD$53,MATCH(AI55,$BM$6:$BM$53,0))</f>
        <v>Egypt</v>
      </c>
      <c r="AW55" s="210"/>
      <c r="AX55" s="171"/>
      <c r="AY55" s="203" t="str">
        <f ca="1">+A54</f>
        <v>Egypt</v>
      </c>
      <c r="AZ55" s="204"/>
      <c r="BA55" s="176"/>
    </row>
    <row r="56" spans="1:121" ht="16" customHeight="1" x14ac:dyDescent="0.2">
      <c r="A56" s="16" t="str">
        <f ca="1">+Equipos!B29</f>
        <v>New Zealand</v>
      </c>
      <c r="B56" s="16"/>
      <c r="C56" s="16"/>
      <c r="D56" s="16" t="str">
        <f t="shared" si="149"/>
        <v>Pendiente</v>
      </c>
      <c r="E56" s="16" t="str">
        <f t="shared" si="150"/>
        <v>-</v>
      </c>
      <c r="F56" s="16" t="str">
        <f t="shared" si="151"/>
        <v>-</v>
      </c>
      <c r="G56" s="16"/>
      <c r="H56" s="16" t="str">
        <f t="shared" si="152"/>
        <v>-</v>
      </c>
      <c r="I56" s="16" t="str">
        <f t="shared" si="153"/>
        <v>-</v>
      </c>
      <c r="J56" s="16"/>
      <c r="K56" s="16" t="str">
        <f t="shared" si="154"/>
        <v>-</v>
      </c>
      <c r="L56" s="16" t="str">
        <f t="shared" si="155"/>
        <v>-</v>
      </c>
      <c r="M56" s="16"/>
      <c r="N56" s="16" t="str">
        <f t="shared" si="156"/>
        <v>-</v>
      </c>
      <c r="O56" s="16" t="str">
        <f t="shared" si="157"/>
        <v>-</v>
      </c>
      <c r="P56" s="16"/>
      <c r="Q56" s="16" t="str">
        <f t="shared" si="158"/>
        <v>-</v>
      </c>
      <c r="R56" s="16" t="str">
        <f t="shared" si="159"/>
        <v>-</v>
      </c>
      <c r="S56" s="16"/>
      <c r="T56" s="16" t="str">
        <f t="shared" si="160"/>
        <v>-</v>
      </c>
      <c r="U56" s="16" t="str">
        <f t="shared" si="161"/>
        <v>-</v>
      </c>
      <c r="V56" s="17"/>
      <c r="W56" s="683"/>
      <c r="X56" s="24">
        <f ca="1">Horarios!C56</f>
        <v>46199.958333333336</v>
      </c>
      <c r="Y56" s="25">
        <f ca="1">Horarios!C56</f>
        <v>46199.958333333336</v>
      </c>
      <c r="Z56" s="26" t="str">
        <f>$Z$8</f>
        <v>R3</v>
      </c>
      <c r="AA56" s="27" t="str">
        <f ca="1">A54</f>
        <v>Egypt</v>
      </c>
      <c r="AB56" s="49" t="str" cm="1">
        <f t="array" aca="1" ref="AB56" ca="1">Ver_flag_local</f>
        <v>🇪🇬</v>
      </c>
      <c r="AC56" s="50"/>
      <c r="AD56" s="51"/>
      <c r="AE56" s="595" t="str" cm="1">
        <f t="array" aca="1" ref="AE56" ca="1">Ver_flag_visit</f>
        <v>🇮🇷</v>
      </c>
      <c r="AF56" s="32" t="str">
        <f ca="1">A55</f>
        <v>Iran</v>
      </c>
      <c r="AG56" s="323">
        <f t="shared" si="162"/>
        <v>0</v>
      </c>
      <c r="AH56" s="195">
        <v>63</v>
      </c>
      <c r="AI56" s="181" t="str">
        <f t="shared" si="166"/>
        <v>3G</v>
      </c>
      <c r="AJ56" s="42">
        <v>3</v>
      </c>
      <c r="AK56" s="602" t="str" cm="1">
        <f t="array" aca="1" ref="AK56" ca="1">Ver_flag_visit</f>
        <v>🇮🇷</v>
      </c>
      <c r="AL56" s="37" t="str">
        <f ca="1">IFERROR(INDEX($BD$6:$BD$53,MATCH(AI56,$BN$6:$BN$53,0)),"")</f>
        <v>Iran</v>
      </c>
      <c r="AM56" s="38">
        <f t="shared" ca="1" si="165"/>
        <v>0</v>
      </c>
      <c r="AN56" s="39">
        <f t="shared" ca="1" si="165"/>
        <v>0</v>
      </c>
      <c r="AO56" s="39">
        <f t="shared" ca="1" si="165"/>
        <v>0</v>
      </c>
      <c r="AP56" s="39">
        <f t="shared" ca="1" si="165"/>
        <v>0</v>
      </c>
      <c r="AQ56" s="39">
        <f t="shared" ca="1" si="165"/>
        <v>0</v>
      </c>
      <c r="AR56" s="39">
        <f t="shared" ca="1" si="165"/>
        <v>0</v>
      </c>
      <c r="AS56" s="39">
        <f t="shared" ca="1" si="165"/>
        <v>0</v>
      </c>
      <c r="AT56" s="43">
        <f t="shared" ca="1" si="165"/>
        <v>0</v>
      </c>
      <c r="AU56" s="330">
        <f ca="1">INDEX($DL$6:$DL$53,MATCH(AI56,$DP$6:$DP$53,0))</f>
        <v>1</v>
      </c>
      <c r="AV56" s="182" t="str">
        <f ca="1">INDEX($BD$6:$BD$53,MATCH(AI56,$BM$6:$BM$53,0))</f>
        <v>Iran</v>
      </c>
      <c r="AW56" s="210"/>
      <c r="AX56" s="171"/>
      <c r="AY56" s="201" t="str">
        <f ca="1">+A55</f>
        <v>Iran</v>
      </c>
      <c r="AZ56" s="202"/>
      <c r="BA56" s="176"/>
      <c r="BB56" s="16" t="s">
        <v>1488</v>
      </c>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row>
    <row r="57" spans="1:121" ht="16" customHeight="1" thickBot="1" x14ac:dyDescent="0.25">
      <c r="A57" s="16"/>
      <c r="B57" s="16"/>
      <c r="C57" s="16"/>
      <c r="D57" s="16" t="str">
        <f t="shared" si="149"/>
        <v>Pendiente</v>
      </c>
      <c r="E57" s="16" t="str">
        <f t="shared" si="150"/>
        <v>-</v>
      </c>
      <c r="F57" s="16" t="str">
        <f t="shared" si="151"/>
        <v>-</v>
      </c>
      <c r="G57" s="16"/>
      <c r="H57" s="16" t="str">
        <f t="shared" si="152"/>
        <v>-</v>
      </c>
      <c r="I57" s="16" t="str">
        <f t="shared" si="153"/>
        <v>-</v>
      </c>
      <c r="J57" s="16"/>
      <c r="K57" s="16" t="str">
        <f t="shared" si="154"/>
        <v>-</v>
      </c>
      <c r="L57" s="16" t="str">
        <f t="shared" si="155"/>
        <v>-</v>
      </c>
      <c r="M57" s="16"/>
      <c r="N57" s="16" t="str">
        <f t="shared" si="156"/>
        <v>-</v>
      </c>
      <c r="O57" s="16" t="str">
        <f t="shared" si="157"/>
        <v>-</v>
      </c>
      <c r="P57" s="16"/>
      <c r="Q57" s="16" t="str">
        <f t="shared" si="158"/>
        <v>-</v>
      </c>
      <c r="R57" s="16" t="str">
        <f t="shared" si="159"/>
        <v>-</v>
      </c>
      <c r="S57" s="16"/>
      <c r="T57" s="16" t="str">
        <f t="shared" si="160"/>
        <v>-</v>
      </c>
      <c r="U57" s="16" t="str">
        <f t="shared" si="161"/>
        <v>-</v>
      </c>
      <c r="V57" s="17"/>
      <c r="W57" s="684"/>
      <c r="X57" s="28">
        <f ca="1">Horarios!C57</f>
        <v>46199.958333333336</v>
      </c>
      <c r="Y57" s="29">
        <f ca="1">Horarios!C57</f>
        <v>46199.958333333336</v>
      </c>
      <c r="Z57" s="30" t="str">
        <f>$Z$8</f>
        <v>R3</v>
      </c>
      <c r="AA57" s="31" t="str">
        <f ca="1">A56</f>
        <v>New Zealand</v>
      </c>
      <c r="AB57" s="52" t="str" cm="1">
        <f t="array" aca="1" ref="AB57" ca="1">Ver_flag_local</f>
        <v>🇳🇿</v>
      </c>
      <c r="AC57" s="53"/>
      <c r="AD57" s="54"/>
      <c r="AE57" s="596" t="str" cm="1">
        <f t="array" aca="1" ref="AE57" ca="1">Ver_flag_visit</f>
        <v>🇧🇪</v>
      </c>
      <c r="AF57" s="33" t="str">
        <f ca="1">A53</f>
        <v>Belgium</v>
      </c>
      <c r="AG57" s="323">
        <f t="shared" si="162"/>
        <v>0</v>
      </c>
      <c r="AH57" s="195">
        <v>64</v>
      </c>
      <c r="AI57" s="181" t="str">
        <f t="shared" si="166"/>
        <v>4G</v>
      </c>
      <c r="AJ57" s="44">
        <v>4</v>
      </c>
      <c r="AK57" s="604" t="str" cm="1">
        <f t="array" aca="1" ref="AK57" ca="1">Ver_flag_visit</f>
        <v>🇳🇿</v>
      </c>
      <c r="AL57" s="45" t="str">
        <f ca="1">IFERROR(INDEX($BD$6:$BD$53,MATCH(AI57,$BN$6:$BN$53,0)),"")</f>
        <v>New Zealand</v>
      </c>
      <c r="AM57" s="46">
        <f t="shared" ca="1" si="165"/>
        <v>0</v>
      </c>
      <c r="AN57" s="47">
        <f t="shared" ca="1" si="165"/>
        <v>0</v>
      </c>
      <c r="AO57" s="47">
        <f t="shared" ca="1" si="165"/>
        <v>0</v>
      </c>
      <c r="AP57" s="47">
        <f t="shared" ca="1" si="165"/>
        <v>0</v>
      </c>
      <c r="AQ57" s="47">
        <f t="shared" ca="1" si="165"/>
        <v>0</v>
      </c>
      <c r="AR57" s="47">
        <f t="shared" ca="1" si="165"/>
        <v>0</v>
      </c>
      <c r="AS57" s="47">
        <f t="shared" ca="1" si="165"/>
        <v>0</v>
      </c>
      <c r="AT57" s="48">
        <f t="shared" ca="1" si="165"/>
        <v>0</v>
      </c>
      <c r="AU57" s="330">
        <f ca="1">INDEX($DL$6:$DL$53,MATCH(AI57,$DP$6:$DP$53,0))</f>
        <v>1</v>
      </c>
      <c r="AV57" s="182" t="str">
        <f ca="1">INDEX($BD$6:$BD$53,MATCH(AI57,$BM$6:$BM$53,0))</f>
        <v>New Zealand</v>
      </c>
      <c r="AW57" s="210"/>
      <c r="AX57" s="171"/>
      <c r="AY57" s="205" t="str">
        <f ca="1">+A56</f>
        <v>New Zealand</v>
      </c>
      <c r="AZ57" s="206"/>
      <c r="BA57" s="176"/>
      <c r="BB57" s="16">
        <f>IFERROR(IF($AJ$99=144,INDEX(Idiomas!$C$73:$C$75,MATCH(WORLDCUP!$AL$116,Idiomas!$D$73:$D$75,0)),1),1)</f>
        <v>1</v>
      </c>
      <c r="BC57" s="16" t="str">
        <f t="shared" ref="BC57:BN57" si="167">+BC5</f>
        <v>Group</v>
      </c>
      <c r="BD57" s="16" t="str">
        <f t="shared" si="167"/>
        <v>Nation</v>
      </c>
      <c r="BE57" s="16" t="str">
        <f t="shared" si="167"/>
        <v>Pts</v>
      </c>
      <c r="BF57" s="16" t="str">
        <f t="shared" si="167"/>
        <v>P</v>
      </c>
      <c r="BG57" s="16" t="str">
        <f t="shared" si="167"/>
        <v>W</v>
      </c>
      <c r="BH57" s="16" t="str">
        <f t="shared" si="167"/>
        <v>D</v>
      </c>
      <c r="BI57" s="16" t="str">
        <f t="shared" si="167"/>
        <v>L</v>
      </c>
      <c r="BJ57" s="16" t="str">
        <f t="shared" si="167"/>
        <v>F</v>
      </c>
      <c r="BK57" s="16" t="str">
        <f t="shared" si="167"/>
        <v>A</v>
      </c>
      <c r="BL57" s="16" t="str">
        <f t="shared" si="167"/>
        <v>GD</v>
      </c>
      <c r="BM57" s="16" t="str">
        <f t="shared" si="167"/>
        <v>PosF1</v>
      </c>
      <c r="BN57" s="16" t="str">
        <f t="shared" si="167"/>
        <v>PosF3</v>
      </c>
      <c r="BO57" s="16"/>
      <c r="BP57" s="16"/>
      <c r="BQ57" s="16"/>
      <c r="BR57" s="16" t="s">
        <v>625</v>
      </c>
      <c r="BS57" s="16" t="s">
        <v>628</v>
      </c>
      <c r="BT57" s="16" t="s">
        <v>626</v>
      </c>
      <c r="BU57" s="16" t="s">
        <v>68</v>
      </c>
      <c r="BV57" s="16" t="s">
        <v>629</v>
      </c>
      <c r="BW57" s="16" t="s">
        <v>627</v>
      </c>
      <c r="BX57" s="16" t="s">
        <v>8</v>
      </c>
      <c r="BY57" s="16" t="s">
        <v>630</v>
      </c>
      <c r="BZ57" s="16" t="s">
        <v>631</v>
      </c>
      <c r="CA57" s="16" t="s">
        <v>638</v>
      </c>
      <c r="CB57" s="16" t="s">
        <v>639</v>
      </c>
      <c r="CC57" s="16"/>
      <c r="CD57" s="16" t="s">
        <v>640</v>
      </c>
      <c r="CE57" s="16" t="s">
        <v>641</v>
      </c>
      <c r="CF57" s="16" t="s">
        <v>642</v>
      </c>
      <c r="DJ57" s="16" t="s">
        <v>663</v>
      </c>
      <c r="DK57" s="16"/>
      <c r="DL57" s="16" t="s">
        <v>664</v>
      </c>
      <c r="DM57" s="16" t="s">
        <v>665</v>
      </c>
      <c r="DN57" s="16" t="s">
        <v>666</v>
      </c>
      <c r="DO57" s="16"/>
      <c r="DP57" s="16" t="s">
        <v>773</v>
      </c>
      <c r="DQ57" s="16" t="s">
        <v>774</v>
      </c>
    </row>
    <row r="58" spans="1:121" ht="16" customHeight="1" thickBot="1" x14ac:dyDescent="0.25">
      <c r="A58" s="16"/>
      <c r="B58" s="16"/>
      <c r="C58" s="16"/>
      <c r="D58" s="16"/>
      <c r="E58" s="16"/>
      <c r="F58" s="16"/>
      <c r="G58" s="16"/>
      <c r="H58" s="16"/>
      <c r="I58" s="16"/>
      <c r="J58" s="16"/>
      <c r="K58" s="16"/>
      <c r="L58" s="16"/>
      <c r="M58" s="16"/>
      <c r="N58" s="16"/>
      <c r="O58" s="16"/>
      <c r="P58" s="16"/>
      <c r="Q58" s="16"/>
      <c r="R58" s="16"/>
      <c r="S58" s="16"/>
      <c r="T58" s="16"/>
      <c r="U58" s="16"/>
      <c r="V58" s="17"/>
      <c r="W58" s="154"/>
      <c r="X58" s="155"/>
      <c r="Y58" s="154"/>
      <c r="Z58" s="156"/>
      <c r="AA58" s="157"/>
      <c r="AB58" s="158"/>
      <c r="AC58" s="151"/>
      <c r="AD58" s="151"/>
      <c r="AE58" s="158"/>
      <c r="AF58" s="159"/>
      <c r="AG58" s="325"/>
      <c r="AH58" s="195"/>
      <c r="AI58" s="181"/>
      <c r="AJ58" s="160"/>
      <c r="AK58" s="161"/>
      <c r="AL58" s="162"/>
      <c r="AM58" s="163"/>
      <c r="AN58" s="160"/>
      <c r="AO58" s="160"/>
      <c r="AP58" s="160"/>
      <c r="AQ58" s="160"/>
      <c r="AR58" s="160"/>
      <c r="AS58" s="160"/>
      <c r="AT58" s="160"/>
      <c r="AU58" s="330"/>
      <c r="AV58" s="189"/>
      <c r="AW58" s="211"/>
      <c r="AX58" s="171"/>
      <c r="AY58" s="154"/>
      <c r="AZ58" s="155"/>
      <c r="BA58" s="176"/>
      <c r="BB58" s="16" t="str">
        <f>3&amp;BC58</f>
        <v>3A</v>
      </c>
      <c r="BC58" s="16" t="s">
        <v>0</v>
      </c>
      <c r="BD58" s="16" t="str">
        <f t="shared" ref="BD58:BD69" ca="1" si="168">+INDEX($BD$6:$BN$53,MATCH($BB58,$BN$6:$BN$53,0),MATCH(BD$57,$BD$5:$BN$5,0))</f>
        <v>South Korea</v>
      </c>
      <c r="BE58" s="16">
        <f ca="1">CHOOSE($BB$57,
  (BG58*3 + BH58)+IF($AZ$3="No",0,INDEX($AZ$6:$AZ$97,MATCH(BD58,$AY$6:$AY$97,0))),
  (BG58*3 + BH58)+IF($AZ$3="No",0,INDEX($AZ$6:$AZ$97,MATCH(BD58,$AY$6:$AY$97,0))),
  IFERROR((BG58*3 + BH58+IF($AZ$3="No",0,INDEX($AZ$6:$AZ$97,MATCH(BD58,$AY$6:$AY$97,0)))) / BF58, 0)
)</f>
        <v>0</v>
      </c>
      <c r="BF58" s="16">
        <f ca="1">+BG58+BH58+BI58</f>
        <v>0</v>
      </c>
      <c r="BG58" s="16">
        <f t="shared" ref="BG58:BG69" ca="1" si="169">CHOOSE(IF($BB$57=2, 2, 1),
  INDEX($BG$6:$BG$53,MATCH($BB58,$BN$6:$BN$53,0)),
  INDEX($BG$6:$BG$53,MATCH($BB58,$BN$6:$BN$53,0))-(COUNTIFS(FGLocal,$BD58,FGVisitante,INDEX($BD$6:$BD$53,MATCH(BO58,$BN$6:$BN$53,0)),Ganador,"Local")+COUNTIFS(FGVisitante,$BD58,FGLocal,INDEX($BD$6:$BD$53,MATCH(BO58,$BN$6:$BN$53,0)),Ganador,"Visitante"))
)</f>
        <v>0</v>
      </c>
      <c r="BH58" s="16">
        <f t="shared" ref="BH58:BH69" ca="1" si="170">CHOOSE(IF($BB$57=2, 2, 1),
  INDEX($BH$6:$BH$53,MATCH($BB58,$BN$6:$BN$53,0)),
  INDEX($BH$6:$BH$53,MATCH($BB58,$BN$6:$BN$53,0))-(COUNTIFS(FGLocal,$BD58,FGVisitante,INDEX($BD$6:$BD$53,MATCH(BO58,$BN$6:$BN$53,0)),Ganador,"Empate")+COUNTIFS(FGVisitante,$BD58,FGLocal,INDEX($BD$6:$BD$53,MATCH(BO58,$BN$6:$BN$53,0)),Ganador,"Empate"))
)</f>
        <v>0</v>
      </c>
      <c r="BI58" s="16">
        <f t="shared" ref="BI58:BI69" ca="1" si="171">CHOOSE(IF($BB$57=2, 2, 1),
  INDEX($BI$6:$BI$53,MATCH($BB58,$BN$6:$BN$53,0)),
  INDEX($BI$6:$BI$53,MATCH($BB58,$BN$6:$BN$53,0))-(COUNTIFS(FGLocal,$BD58,FGVisitante,INDEX($BD$6:$BD$53,MATCH(BO58,$BN$6:$BN$53,0)),Ganador,"Visitante")+COUNTIFS(FGVisitante,$BD58,FGLocal,INDEX($BD$6:$BD$53,MATCH(BO58,$BN$6:$BN$53,0)),Ganador,"Local"))
)</f>
        <v>0</v>
      </c>
      <c r="BJ58" s="16">
        <f t="shared" ref="BJ58:BJ69" ca="1" si="172">CHOOSE($BB$57,
  INDEX($BJ$6:$BJ$53,MATCH($BB58,$BN$6:$BN$53,0)),
  INDEX($BJ$6:$BJ$53,MATCH($BB58,$BN$6:$BN$53,0))-(SUMIFS(FG_GolesLocal,FGLocal,$BD58,FGVisitante,INDEX($BD$6:$BD$53,MATCH(BO58,$BN$6:$BN$53,0)))+SUMIFS(FG_GolesVisitante,FGVisitante,$BD58,FGLocal,INDEX($BD$6:$BD$53,MATCH(BO58,$BN$6:$BN$53,0)))),
  IFERROR(INDEX($BJ$6:$BJ$53,MATCH($BB58,$BN$6:$BN$53,0)) / BF58, 0)
)</f>
        <v>0</v>
      </c>
      <c r="BK58" s="16">
        <f t="shared" ref="BK58:BK69" ca="1" si="173">CHOOSE($BB$57,
  INDEX($BK$6:$BK$53,MATCH($BB58,$BN$6:$BN$53,0)),
  INDEX($BK$6:$BK$53,MATCH($BB58,$BN$6:$BN$53,0))-(SUMIFS(FG_GolesVisitante,FGLocal,$BD58,FGVisitante,INDEX($BD$6:$BD$53,MATCH(BO58,$BN$6:$BN$53,0)))+SUMIFS(FG_GolesLocal,FGVisitante,$BD58,FGLocal,INDEX($BD$6:$BD$53,MATCH(BO58,$BN$6:$BN$53,0)))),
  IFERROR(INDEX($BK$6:$BK$53,MATCH($BB58,$BN$6:$BN$53,0)) / BF58, 0)
)</f>
        <v>0</v>
      </c>
      <c r="BL58" s="16">
        <f ca="1">+BJ58-BK58</f>
        <v>0</v>
      </c>
      <c r="BM58" s="16">
        <f ca="1">CB58</f>
        <v>10</v>
      </c>
      <c r="BN58" s="16">
        <f ca="1">CF58</f>
        <v>10</v>
      </c>
      <c r="BO58" s="16" t="str">
        <f t="shared" ref="BO58:BO69" si="174">"4"&amp;BC58</f>
        <v>4A</v>
      </c>
      <c r="BP58" s="16"/>
      <c r="BQ58" s="16"/>
      <c r="BR58" s="16">
        <f t="shared" ref="BR58:BR69" ca="1" si="175">+BE58</f>
        <v>0</v>
      </c>
      <c r="BS58" s="16">
        <f ca="1">COUNTIFS(BR$58:BR$69,"&gt;"&amp;BR58)+1</f>
        <v>1</v>
      </c>
      <c r="BT58" s="16" t="str">
        <f ca="1">IF(COUNTIF(BS$58:BS$69,BS58)=1,"-","Pos. "&amp;BS58&amp;" ("&amp;COUNTIF(BS$58:BS$69,BS58)&amp;")")</f>
        <v>Pos. 1 (12)</v>
      </c>
      <c r="BU58" s="16">
        <f t="shared" ref="BU58:BU69" ca="1" si="176">IF(BT58="-","-",BL58)</f>
        <v>0</v>
      </c>
      <c r="BV58" s="16">
        <f t="shared" ref="BV58:BV69" ca="1" si="177">BS58+COUNTIFS(BT$58:BT$69,BT58,BU$58:BU$69,"&gt;"&amp;BU58)</f>
        <v>1</v>
      </c>
      <c r="BW58" s="16" t="str">
        <f t="shared" ref="BW58:BW69" ca="1" si="178">IF(COUNTIF(BV$58:BV$69,BV58)=1,"-","Pos. "&amp;BV58&amp;" ("&amp;COUNTIF(BV$58:BV$69,BV58)&amp;")")</f>
        <v>Pos. 1 (12)</v>
      </c>
      <c r="BX58" s="16">
        <f t="shared" ref="BX58:BX69" ca="1" si="179">IF(BW58="-","-",BJ58)</f>
        <v>0</v>
      </c>
      <c r="BY58" s="16">
        <f t="shared" ref="BY58:BY69" ca="1" si="180">BV58+COUNTIFS(BW$58:BW$69,BW58,BX$58:BX$69,"&gt;"&amp;BX58)</f>
        <v>1</v>
      </c>
      <c r="BZ58" s="16" t="str">
        <f t="shared" ref="BZ58:BZ69" ca="1" si="181">IF(COUNTIF(BY$58:BY$69,BY58)=1,"-","Pos. "&amp;BY58&amp;" ("&amp;COUNTIF(BY$58:BY$69,BY58)&amp;")")</f>
        <v>Pos. 1 (12)</v>
      </c>
      <c r="CA58" s="16">
        <f t="shared" ref="CA58:CA69" ca="1" si="182">IF(BZ58="-","-",COUNTIF($BD$58:$BD$69,"&gt;"&amp;BD58))</f>
        <v>2</v>
      </c>
      <c r="CB58" s="16">
        <f ca="1">BY58+COUNTIFS(BZ$58:BZ$69,BZ58,CA$58:CA$69,"&gt;"&amp;CA58)</f>
        <v>10</v>
      </c>
      <c r="CC58" s="16"/>
      <c r="CD58" s="16">
        <f t="shared" ref="CD58:CD69" ca="1" si="183">IF(OR(INDEX($AW$102:$AW$113,MATCH($BD58,$AV$102:$AV$113,0))="",BZ58="-"),CB58,INDEX($AW$102:$AW$113,MATCH($BD58,$AV$102:$AV$113,0))+CB58/1000)</f>
        <v>10</v>
      </c>
      <c r="CE58" s="16">
        <f ca="1">IF(BZ58="-","-",COUNTIF(CD$58:CD$69,"&lt;"&amp;CD58))</f>
        <v>9</v>
      </c>
      <c r="CF58" s="16">
        <f ca="1">BY58+COUNTIFS(BZ$58:BZ$69,BZ58,CE$58:CE$69,"&lt;"&amp;CE58)</f>
        <v>10</v>
      </c>
      <c r="DJ58" s="16">
        <f t="shared" ref="DJ58:DJ69" ca="1" si="184">INDEX($BY$58:$BY$69,MATCH($DQ58,$BD$58:$BD$69,0))</f>
        <v>1</v>
      </c>
      <c r="DK58" s="16"/>
      <c r="DL58" s="16">
        <f t="shared" ref="DL58:DL69" ca="1" si="185">IF(OR($H$113=144,$AJ$99=144),COUNTIF($DJ$58:$DJ$69,DJ58),1)</f>
        <v>1</v>
      </c>
      <c r="DM58" s="16" t="str">
        <f t="shared" ref="DM58:DM69" ca="1" si="186">DJ58&amp;"."&amp;DL58</f>
        <v>1.1</v>
      </c>
      <c r="DN58" s="16" cm="1">
        <f t="array" aca="1" ref="DN58" ca="1">OFFSET(Horarios!$P$3,DJ58-1,0,DL58,1)</f>
        <v>1</v>
      </c>
      <c r="DO58" s="16"/>
      <c r="DP58" s="16">
        <v>1</v>
      </c>
      <c r="DQ58" s="16" t="str">
        <f ca="1">INDEX($BD$58:$BD$69,MATCH(DP58,$BM$58:$BM$69,0))</f>
        <v>Australia</v>
      </c>
    </row>
    <row r="59" spans="1:121" ht="16" customHeight="1" thickBot="1" x14ac:dyDescent="0.25">
      <c r="A59" s="16"/>
      <c r="B59" s="16"/>
      <c r="C59" s="16"/>
      <c r="D59" s="16"/>
      <c r="E59" s="16"/>
      <c r="F59" s="16"/>
      <c r="G59" s="16"/>
      <c r="H59" s="16"/>
      <c r="I59" s="16"/>
      <c r="J59" s="16"/>
      <c r="K59" s="16"/>
      <c r="L59" s="16"/>
      <c r="M59" s="16"/>
      <c r="N59" s="16"/>
      <c r="O59" s="16"/>
      <c r="P59" s="16"/>
      <c r="Q59" s="16"/>
      <c r="R59" s="16"/>
      <c r="S59" s="16"/>
      <c r="T59" s="16"/>
      <c r="U59" s="16"/>
      <c r="V59" s="17"/>
      <c r="W59" s="8"/>
      <c r="X59" s="69" t="str">
        <f>X3</f>
        <v>Date</v>
      </c>
      <c r="Y59" s="69" t="str">
        <f>Y3</f>
        <v>Hour</v>
      </c>
      <c r="Z59" s="55" t="str">
        <f>Z3</f>
        <v>R</v>
      </c>
      <c r="AA59" s="57" t="str">
        <f>AA3</f>
        <v>Home</v>
      </c>
      <c r="AB59" s="56"/>
      <c r="AC59" s="55" t="str">
        <f>AC3</f>
        <v>Goal</v>
      </c>
      <c r="AD59" s="55" t="str">
        <f>AD3</f>
        <v>Goal</v>
      </c>
      <c r="AE59" s="56"/>
      <c r="AF59" s="58" t="str">
        <f>AF3</f>
        <v>Away</v>
      </c>
      <c r="AG59" s="324"/>
      <c r="AH59" s="195"/>
      <c r="AI59" s="179"/>
      <c r="AJ59" s="162"/>
      <c r="AK59" s="600"/>
      <c r="AL59" s="162"/>
      <c r="AM59" s="162"/>
      <c r="AN59" s="162"/>
      <c r="AO59" s="162"/>
      <c r="AP59" s="162"/>
      <c r="AQ59" s="162"/>
      <c r="AR59" s="162"/>
      <c r="AS59" s="162"/>
      <c r="AT59" s="162"/>
      <c r="AU59" s="331"/>
      <c r="AV59" s="188"/>
      <c r="AW59" s="212"/>
      <c r="AX59" s="172"/>
      <c r="AY59" s="154"/>
      <c r="AZ59" s="155"/>
      <c r="BA59" s="176"/>
      <c r="BB59" s="16" t="str">
        <f t="shared" ref="BB59:BB69" si="187">"3"&amp;BC59</f>
        <v>3B</v>
      </c>
      <c r="BC59" s="16" t="s">
        <v>1</v>
      </c>
      <c r="BD59" s="16" t="str">
        <f t="shared" ca="1" si="168"/>
        <v>Qatar</v>
      </c>
      <c r="BE59" s="16">
        <f t="shared" ref="BE59:BE69" ca="1" si="188">CHOOSE($BB$57,
  (BG59*3 + BH59)+IF($AZ$3="No",0,INDEX($AZ$6:$AZ$97,MATCH(BD59,$AY$6:$AY$97,0))),
  (BG59*3 + BH59)+IF($AZ$3="No",0,INDEX($AZ$6:$AZ$97,MATCH(BD59,$AY$6:$AY$97,0))),
  IFERROR((BG59*3 + BH59+IF($AZ$3="No",0,INDEX($AZ$6:$AZ$97,MATCH(BD59,$AY$6:$AY$97,0)))) / BF59, 0)
)</f>
        <v>0</v>
      </c>
      <c r="BF59" s="16">
        <f t="shared" ref="BF59:BF69" ca="1" si="189">+BG59+BH59+BI59</f>
        <v>0</v>
      </c>
      <c r="BG59" s="16">
        <f t="shared" ca="1" si="169"/>
        <v>0</v>
      </c>
      <c r="BH59" s="16">
        <f t="shared" ca="1" si="170"/>
        <v>0</v>
      </c>
      <c r="BI59" s="16">
        <f t="shared" ca="1" si="171"/>
        <v>0</v>
      </c>
      <c r="BJ59" s="16">
        <f t="shared" ca="1" si="172"/>
        <v>0</v>
      </c>
      <c r="BK59" s="16">
        <f t="shared" ca="1" si="173"/>
        <v>0</v>
      </c>
      <c r="BL59" s="16">
        <f t="shared" ref="BL59:BL69" ca="1" si="190">+BJ59-BK59</f>
        <v>0</v>
      </c>
      <c r="BM59" s="16">
        <f t="shared" ref="BM59:BM69" ca="1" si="191">CB59</f>
        <v>8</v>
      </c>
      <c r="BN59" s="16">
        <f t="shared" ref="BN59:BN69" ca="1" si="192">CF59</f>
        <v>8</v>
      </c>
      <c r="BO59" s="16" t="str">
        <f t="shared" si="174"/>
        <v>4B</v>
      </c>
      <c r="BP59" s="16"/>
      <c r="BQ59" s="16"/>
      <c r="BR59" s="16">
        <f t="shared" ca="1" si="175"/>
        <v>0</v>
      </c>
      <c r="BS59" s="16">
        <f t="shared" ref="BS59:BS69" ca="1" si="193">COUNTIFS(BR$58:BR$69,"&gt;"&amp;BR59)+1</f>
        <v>1</v>
      </c>
      <c r="BT59" s="16" t="str">
        <f t="shared" ref="BT59:BT69" ca="1" si="194">IF(COUNTIF(BS$58:BS$69,BS59)=1,"-","Pos. "&amp;BS59&amp;" ("&amp;COUNTIF(BS$58:BS$69,BS59)&amp;")")</f>
        <v>Pos. 1 (12)</v>
      </c>
      <c r="BU59" s="16">
        <f t="shared" ca="1" si="176"/>
        <v>0</v>
      </c>
      <c r="BV59" s="16">
        <f t="shared" ca="1" si="177"/>
        <v>1</v>
      </c>
      <c r="BW59" s="16" t="str">
        <f t="shared" ca="1" si="178"/>
        <v>Pos. 1 (12)</v>
      </c>
      <c r="BX59" s="16">
        <f t="shared" ca="1" si="179"/>
        <v>0</v>
      </c>
      <c r="BY59" s="16">
        <f t="shared" ca="1" si="180"/>
        <v>1</v>
      </c>
      <c r="BZ59" s="16" t="str">
        <f t="shared" ca="1" si="181"/>
        <v>Pos. 1 (12)</v>
      </c>
      <c r="CA59" s="16">
        <f t="shared" ca="1" si="182"/>
        <v>4</v>
      </c>
      <c r="CB59" s="16">
        <f t="shared" ref="CB59:CB68" ca="1" si="195">BY59+COUNTIFS(BZ$58:BZ$69,BZ59,CA$58:CA$69,"&gt;"&amp;CA59)</f>
        <v>8</v>
      </c>
      <c r="CC59" s="16"/>
      <c r="CD59" s="16">
        <f t="shared" ca="1" si="183"/>
        <v>8</v>
      </c>
      <c r="CE59" s="16">
        <f t="shared" ref="CE59:CE69" ca="1" si="196">IF(BZ59="-","-",COUNTIF(CD$58:CD$69,"&lt;"&amp;CD59))</f>
        <v>7</v>
      </c>
      <c r="CF59" s="16">
        <f t="shared" ref="CF59:CF69" ca="1" si="197">BY59+COUNTIFS(BZ$58:BZ$69,BZ59,CE$58:CE$69,"&lt;"&amp;CE59)</f>
        <v>8</v>
      </c>
      <c r="DJ59" s="16">
        <f t="shared" ca="1" si="184"/>
        <v>1</v>
      </c>
      <c r="DK59" s="16"/>
      <c r="DL59" s="16">
        <f t="shared" ca="1" si="185"/>
        <v>1</v>
      </c>
      <c r="DM59" s="16" t="str">
        <f t="shared" ca="1" si="186"/>
        <v>1.1</v>
      </c>
      <c r="DN59" s="16" cm="1">
        <f t="array" aca="1" ref="DN59" ca="1">OFFSET(Horarios!$P$3,DJ59-1,0,DL59,1)</f>
        <v>1</v>
      </c>
      <c r="DO59" s="16"/>
      <c r="DP59" s="16">
        <v>2</v>
      </c>
      <c r="DQ59" s="16" t="str">
        <f t="shared" ref="DQ59:DQ69" ca="1" si="198">INDEX($BD$58:$BD$69,MATCH(DP59,$BM$58:$BM$69,0))</f>
        <v>Austria</v>
      </c>
    </row>
    <row r="60" spans="1:121" ht="16" customHeight="1" thickBot="1" x14ac:dyDescent="0.25">
      <c r="A60" s="16" t="s">
        <v>32</v>
      </c>
      <c r="B60" s="16" t="s">
        <v>447</v>
      </c>
      <c r="C60" s="16">
        <f>COUNTIF(Equipos!$C$2:$C$49,WORLDCUP!B60)</f>
        <v>4</v>
      </c>
      <c r="D60" s="16" t="str">
        <f t="shared" ref="D60:D65" si="199">IF(OR(AC60="",AD60=""),"Pendiente",IF(AC60&gt;AD60,"Local",IF(AC60&lt;AD60,"Visitante","Empate")))</f>
        <v>Pendiente</v>
      </c>
      <c r="E60" s="16" t="str">
        <f t="shared" ref="E60:E65" si="200">IF(D60="Pendiente","-",INDEX($BT$6:$BT$53,MATCH($AA60,$BD$6:$BD$53,0)))</f>
        <v>-</v>
      </c>
      <c r="F60" s="16" t="str">
        <f t="shared" ref="F60:F65" si="201">IF(D60="Pendiente","-",INDEX($BT$6:$BT$53,MATCH($AF60,$BD$6:$BD$53,0)))</f>
        <v>-</v>
      </c>
      <c r="G60" s="16"/>
      <c r="H60" s="16" t="str">
        <f t="shared" ref="H60:H65" si="202">IF(D60="Pendiente","-",INDEX($BZ$6:$BZ$53,MATCH($AA60,$BD$6:$BD$53,0)))</f>
        <v>-</v>
      </c>
      <c r="I60" s="16" t="str">
        <f t="shared" ref="I60:I65" si="203">IF(D60="Pendiente","-",INDEX($BZ$6:$BZ$53,MATCH($AF60,$BD$6:$BD$53,0)))</f>
        <v>-</v>
      </c>
      <c r="J60" s="16"/>
      <c r="K60" s="16" t="str">
        <f t="shared" ref="K60:K65" si="204">IF(D60="Pendiente","-",INDEX($CE$6:$CE$53,MATCH($AA60,$BD$6:$BD$53,0)))</f>
        <v>-</v>
      </c>
      <c r="L60" s="16" t="str">
        <f t="shared" ref="L60:L65" si="205">IF(D60="Pendiente","-",INDEX($CE$6:$CE$53,MATCH($AF60,$BD$6:$BD$53,0)))</f>
        <v>-</v>
      </c>
      <c r="M60" s="16"/>
      <c r="N60" s="16" t="str">
        <f t="shared" ref="N60:N65" si="206">IF(D60="Pendiente","-",INDEX($CH$6:$CH$53,MATCH($AA60,$BD$6:$BD$53,0)))</f>
        <v>-</v>
      </c>
      <c r="O60" s="16" t="str">
        <f t="shared" ref="O60:O65" si="207">IF(D60="Pendiente","-",INDEX($CH$6:$CH$53,MATCH($AF60,$BD$6:$BD$53,0)))</f>
        <v>-</v>
      </c>
      <c r="P60" s="16"/>
      <c r="Q60" s="16" t="str">
        <f t="shared" ref="Q60:Q65" si="208">IF(D60="Pendiente","-",INDEX($CN$6:$CN$53,MATCH($AA60,$BD$6:$BD$53,0)))</f>
        <v>-</v>
      </c>
      <c r="R60" s="16" t="str">
        <f t="shared" ref="R60:R65" si="209">IF(D60="Pendiente","-",INDEX($CN$6:$CN$53,MATCH($AF60,$BD$6:$BD$53,0)))</f>
        <v>-</v>
      </c>
      <c r="S60" s="16"/>
      <c r="T60" s="16" t="str">
        <f t="shared" ref="T60:T65" si="210">IF(D60="Pendiente","-",INDEX($CS$6:$CS$53,MATCH($AA60,$BD$6:$BD$53,0)))</f>
        <v>-</v>
      </c>
      <c r="U60" s="16" t="str">
        <f t="shared" ref="U60:U65" si="211">IF(D60="Pendiente","-",INDEX($CS$6:$CS$53,MATCH($AF60,$BD$6:$BD$53,0)))</f>
        <v>-</v>
      </c>
      <c r="V60" s="17"/>
      <c r="W60" s="665" t="s">
        <v>447</v>
      </c>
      <c r="X60" s="24">
        <f ca="1">Horarios!C60</f>
        <v>46188.5</v>
      </c>
      <c r="Y60" s="25">
        <f ca="1">Horarios!C60</f>
        <v>46188.5</v>
      </c>
      <c r="Z60" s="26" t="str">
        <f>$Z$4</f>
        <v>R1</v>
      </c>
      <c r="AA60" s="27" t="str">
        <f ca="1">A61</f>
        <v>Spain</v>
      </c>
      <c r="AB60" s="49" t="str" cm="1">
        <f t="array" aca="1" ref="AB60" ca="1">Ver_flag_local</f>
        <v>🇪🇸</v>
      </c>
      <c r="AC60" s="50"/>
      <c r="AD60" s="51"/>
      <c r="AE60" s="595" t="str" cm="1">
        <f t="array" aca="1" ref="AE60" ca="1">Ver_flag_visit</f>
        <v>🇨🇻</v>
      </c>
      <c r="AF60" s="32" t="str">
        <f ca="1">A62</f>
        <v>Cape Verde</v>
      </c>
      <c r="AG60" s="323">
        <f t="shared" ref="AG60:AG65" si="212">IF(NOT(OR(ISBLANK(AC60),ISBLANK(AD60))),1,0)</f>
        <v>0</v>
      </c>
      <c r="AH60" s="195">
        <v>14</v>
      </c>
      <c r="AI60" s="181"/>
      <c r="AJ60" s="59" t="str">
        <f>CONCATENATE(AJ3," ",B60)</f>
        <v>Group H</v>
      </c>
      <c r="AK60" s="60"/>
      <c r="AL60" s="60"/>
      <c r="AM60" s="60"/>
      <c r="AN60" s="60"/>
      <c r="AO60" s="60"/>
      <c r="AP60" s="60"/>
      <c r="AQ60" s="60"/>
      <c r="AR60" s="60"/>
      <c r="AS60" s="60"/>
      <c r="AT60" s="61"/>
      <c r="AU60" s="331"/>
      <c r="AV60" s="286" t="str">
        <f ca="1">IF(AU61&gt;0,$AV$3,"")</f>
        <v/>
      </c>
      <c r="AW60" s="167"/>
      <c r="AX60" s="167"/>
      <c r="AY60" s="154"/>
      <c r="AZ60" s="155"/>
      <c r="BA60" s="176"/>
      <c r="BB60" s="16" t="str">
        <f t="shared" si="187"/>
        <v>3C</v>
      </c>
      <c r="BC60" s="16" t="s">
        <v>2</v>
      </c>
      <c r="BD60" s="16" t="str">
        <f t="shared" ca="1" si="168"/>
        <v>Haiti</v>
      </c>
      <c r="BE60" s="16">
        <f t="shared" ca="1" si="188"/>
        <v>0</v>
      </c>
      <c r="BF60" s="16">
        <f t="shared" ca="1" si="189"/>
        <v>0</v>
      </c>
      <c r="BG60" s="16">
        <f t="shared" ca="1" si="169"/>
        <v>0</v>
      </c>
      <c r="BH60" s="16">
        <f t="shared" ca="1" si="170"/>
        <v>0</v>
      </c>
      <c r="BI60" s="16">
        <f t="shared" ca="1" si="171"/>
        <v>0</v>
      </c>
      <c r="BJ60" s="16">
        <f t="shared" ca="1" si="172"/>
        <v>0</v>
      </c>
      <c r="BK60" s="16">
        <f t="shared" ca="1" si="173"/>
        <v>0</v>
      </c>
      <c r="BL60" s="16">
        <f t="shared" ca="1" si="190"/>
        <v>0</v>
      </c>
      <c r="BM60" s="16">
        <f t="shared" ca="1" si="191"/>
        <v>4</v>
      </c>
      <c r="BN60" s="16">
        <f t="shared" ca="1" si="192"/>
        <v>4</v>
      </c>
      <c r="BO60" s="16" t="str">
        <f t="shared" si="174"/>
        <v>4C</v>
      </c>
      <c r="BP60" s="16"/>
      <c r="BQ60" s="16"/>
      <c r="BR60" s="16">
        <f t="shared" ca="1" si="175"/>
        <v>0</v>
      </c>
      <c r="BS60" s="16">
        <f t="shared" ca="1" si="193"/>
        <v>1</v>
      </c>
      <c r="BT60" s="16" t="str">
        <f t="shared" ca="1" si="194"/>
        <v>Pos. 1 (12)</v>
      </c>
      <c r="BU60" s="16">
        <f t="shared" ca="1" si="176"/>
        <v>0</v>
      </c>
      <c r="BV60" s="16">
        <f t="shared" ca="1" si="177"/>
        <v>1</v>
      </c>
      <c r="BW60" s="16" t="str">
        <f t="shared" ca="1" si="178"/>
        <v>Pos. 1 (12)</v>
      </c>
      <c r="BX60" s="16">
        <f t="shared" ca="1" si="179"/>
        <v>0</v>
      </c>
      <c r="BY60" s="16">
        <f t="shared" ca="1" si="180"/>
        <v>1</v>
      </c>
      <c r="BZ60" s="16" t="str">
        <f t="shared" ca="1" si="181"/>
        <v>Pos. 1 (12)</v>
      </c>
      <c r="CA60" s="16">
        <f t="shared" ca="1" si="182"/>
        <v>8</v>
      </c>
      <c r="CB60" s="16">
        <f t="shared" ca="1" si="195"/>
        <v>4</v>
      </c>
      <c r="CC60" s="16"/>
      <c r="CD60" s="16">
        <f t="shared" ca="1" si="183"/>
        <v>4</v>
      </c>
      <c r="CE60" s="16">
        <f t="shared" ca="1" si="196"/>
        <v>3</v>
      </c>
      <c r="CF60" s="16">
        <f t="shared" ca="1" si="197"/>
        <v>4</v>
      </c>
      <c r="DJ60" s="16">
        <f t="shared" ca="1" si="184"/>
        <v>1</v>
      </c>
      <c r="DK60" s="16"/>
      <c r="DL60" s="16">
        <f t="shared" ca="1" si="185"/>
        <v>1</v>
      </c>
      <c r="DM60" s="16" t="str">
        <f t="shared" ca="1" si="186"/>
        <v>1.1</v>
      </c>
      <c r="DN60" s="16" cm="1">
        <f t="array" aca="1" ref="DN60" ca="1">OFFSET(Horarios!$P$3,DJ60-1,0,DL60,1)</f>
        <v>1</v>
      </c>
      <c r="DO60" s="16"/>
      <c r="DP60" s="16">
        <v>3</v>
      </c>
      <c r="DQ60" s="16" t="str">
        <f t="shared" ca="1" si="198"/>
        <v>Ghana</v>
      </c>
    </row>
    <row r="61" spans="1:121" ht="16" customHeight="1" x14ac:dyDescent="0.2">
      <c r="A61" s="16" t="str">
        <f ca="1">+Equipos!B30</f>
        <v>Spain</v>
      </c>
      <c r="B61" s="16"/>
      <c r="C61" s="16"/>
      <c r="D61" s="16" t="str">
        <f t="shared" si="199"/>
        <v>Pendiente</v>
      </c>
      <c r="E61" s="16" t="str">
        <f t="shared" si="200"/>
        <v>-</v>
      </c>
      <c r="F61" s="16" t="str">
        <f t="shared" si="201"/>
        <v>-</v>
      </c>
      <c r="G61" s="16"/>
      <c r="H61" s="16" t="str">
        <f t="shared" si="202"/>
        <v>-</v>
      </c>
      <c r="I61" s="16" t="str">
        <f t="shared" si="203"/>
        <v>-</v>
      </c>
      <c r="J61" s="16"/>
      <c r="K61" s="16" t="str">
        <f t="shared" si="204"/>
        <v>-</v>
      </c>
      <c r="L61" s="16" t="str">
        <f t="shared" si="205"/>
        <v>-</v>
      </c>
      <c r="M61" s="16"/>
      <c r="N61" s="16" t="str">
        <f t="shared" si="206"/>
        <v>-</v>
      </c>
      <c r="O61" s="16" t="str">
        <f t="shared" si="207"/>
        <v>-</v>
      </c>
      <c r="P61" s="16"/>
      <c r="Q61" s="16" t="str">
        <f t="shared" si="208"/>
        <v>-</v>
      </c>
      <c r="R61" s="16" t="str">
        <f t="shared" si="209"/>
        <v>-</v>
      </c>
      <c r="S61" s="16"/>
      <c r="T61" s="16" t="str">
        <f t="shared" si="210"/>
        <v>-</v>
      </c>
      <c r="U61" s="16" t="str">
        <f t="shared" si="211"/>
        <v>-</v>
      </c>
      <c r="V61" s="17"/>
      <c r="W61" s="665"/>
      <c r="X61" s="24">
        <f ca="1">Horarios!C61</f>
        <v>46188.75</v>
      </c>
      <c r="Y61" s="25">
        <f ca="1">Horarios!C61</f>
        <v>46188.75</v>
      </c>
      <c r="Z61" s="26" t="str">
        <f>$Z$4</f>
        <v>R1</v>
      </c>
      <c r="AA61" s="27" t="str">
        <f ca="1">A63</f>
        <v>Saudi Arabia</v>
      </c>
      <c r="AB61" s="49" t="str" cm="1">
        <f t="array" aca="1" ref="AB61" ca="1">Ver_flag_local</f>
        <v>🇸🇦</v>
      </c>
      <c r="AC61" s="50"/>
      <c r="AD61" s="51"/>
      <c r="AE61" s="595" t="str" cm="1">
        <f t="array" aca="1" ref="AE61" ca="1">Ver_flag_visit</f>
        <v>🇺🇾</v>
      </c>
      <c r="AF61" s="32" t="str">
        <f ca="1">A64</f>
        <v>Uruguay</v>
      </c>
      <c r="AG61" s="323">
        <f t="shared" si="212"/>
        <v>0</v>
      </c>
      <c r="AH61" s="195">
        <v>13</v>
      </c>
      <c r="AI61" s="181"/>
      <c r="AJ61" s="62" t="str">
        <f>AJ5</f>
        <v>Pos</v>
      </c>
      <c r="AK61" s="63"/>
      <c r="AL61" s="64" t="str">
        <f t="shared" ref="AL61:AT61" si="213">AL5</f>
        <v>Nation</v>
      </c>
      <c r="AM61" s="63" t="str">
        <f t="shared" si="213"/>
        <v>Pts</v>
      </c>
      <c r="AN61" s="63" t="str">
        <f t="shared" si="213"/>
        <v>P</v>
      </c>
      <c r="AO61" s="63" t="str">
        <f t="shared" si="213"/>
        <v>W</v>
      </c>
      <c r="AP61" s="63" t="str">
        <f t="shared" si="213"/>
        <v>D</v>
      </c>
      <c r="AQ61" s="63" t="str">
        <f t="shared" si="213"/>
        <v>L</v>
      </c>
      <c r="AR61" s="63" t="str">
        <f t="shared" si="213"/>
        <v>F</v>
      </c>
      <c r="AS61" s="63" t="str">
        <f t="shared" si="213"/>
        <v>A</v>
      </c>
      <c r="AT61" s="65" t="str">
        <f t="shared" si="213"/>
        <v>GD</v>
      </c>
      <c r="AU61" s="331">
        <f t="shared" ref="AU61" ca="1" si="214">COUNTIF(AU62:AU65,"&gt;1")</f>
        <v>0</v>
      </c>
      <c r="AV61" s="192"/>
      <c r="AW61" s="167"/>
      <c r="AX61" s="167"/>
      <c r="AY61" s="207" t="str">
        <f>AL61</f>
        <v>Nation</v>
      </c>
      <c r="AZ61" s="208" t="str">
        <f>+Idiomas!$D$67</f>
        <v>Deducted Points</v>
      </c>
      <c r="BA61" s="176"/>
      <c r="BB61" s="16" t="str">
        <f t="shared" si="187"/>
        <v>3D</v>
      </c>
      <c r="BC61" s="16" t="s">
        <v>74</v>
      </c>
      <c r="BD61" s="16" t="str">
        <f t="shared" ca="1" si="168"/>
        <v>Australia</v>
      </c>
      <c r="BE61" s="16">
        <f t="shared" ca="1" si="188"/>
        <v>0</v>
      </c>
      <c r="BF61" s="16">
        <f t="shared" ca="1" si="189"/>
        <v>0</v>
      </c>
      <c r="BG61" s="16">
        <f t="shared" ca="1" si="169"/>
        <v>0</v>
      </c>
      <c r="BH61" s="16">
        <f t="shared" ca="1" si="170"/>
        <v>0</v>
      </c>
      <c r="BI61" s="16">
        <f t="shared" ca="1" si="171"/>
        <v>0</v>
      </c>
      <c r="BJ61" s="16">
        <f t="shared" ca="1" si="172"/>
        <v>0</v>
      </c>
      <c r="BK61" s="16">
        <f t="shared" ca="1" si="173"/>
        <v>0</v>
      </c>
      <c r="BL61" s="16">
        <f t="shared" ca="1" si="190"/>
        <v>0</v>
      </c>
      <c r="BM61" s="16">
        <f t="shared" ca="1" si="191"/>
        <v>1</v>
      </c>
      <c r="BN61" s="16">
        <f t="shared" ca="1" si="192"/>
        <v>1</v>
      </c>
      <c r="BO61" s="16" t="str">
        <f t="shared" si="174"/>
        <v>4D</v>
      </c>
      <c r="BP61" s="16"/>
      <c r="BQ61" s="16"/>
      <c r="BR61" s="16">
        <f t="shared" ca="1" si="175"/>
        <v>0</v>
      </c>
      <c r="BS61" s="16">
        <f t="shared" ca="1" si="193"/>
        <v>1</v>
      </c>
      <c r="BT61" s="16" t="str">
        <f t="shared" ca="1" si="194"/>
        <v>Pos. 1 (12)</v>
      </c>
      <c r="BU61" s="16">
        <f t="shared" ca="1" si="176"/>
        <v>0</v>
      </c>
      <c r="BV61" s="16">
        <f t="shared" ca="1" si="177"/>
        <v>1</v>
      </c>
      <c r="BW61" s="16" t="str">
        <f t="shared" ca="1" si="178"/>
        <v>Pos. 1 (12)</v>
      </c>
      <c r="BX61" s="16">
        <f t="shared" ca="1" si="179"/>
        <v>0</v>
      </c>
      <c r="BY61" s="16">
        <f t="shared" ca="1" si="180"/>
        <v>1</v>
      </c>
      <c r="BZ61" s="16" t="str">
        <f t="shared" ca="1" si="181"/>
        <v>Pos. 1 (12)</v>
      </c>
      <c r="CA61" s="16">
        <f t="shared" ca="1" si="182"/>
        <v>11</v>
      </c>
      <c r="CB61" s="16">
        <f t="shared" ca="1" si="195"/>
        <v>1</v>
      </c>
      <c r="CC61" s="16"/>
      <c r="CD61" s="16">
        <f t="shared" ca="1" si="183"/>
        <v>1</v>
      </c>
      <c r="CE61" s="16">
        <f t="shared" ca="1" si="196"/>
        <v>0</v>
      </c>
      <c r="CF61" s="16">
        <f t="shared" ca="1" si="197"/>
        <v>1</v>
      </c>
      <c r="DJ61" s="16">
        <f t="shared" ca="1" si="184"/>
        <v>1</v>
      </c>
      <c r="DK61" s="16"/>
      <c r="DL61" s="16">
        <f t="shared" ca="1" si="185"/>
        <v>1</v>
      </c>
      <c r="DM61" s="16" t="str">
        <f t="shared" ca="1" si="186"/>
        <v>1.1</v>
      </c>
      <c r="DN61" s="16" cm="1">
        <f t="array" aca="1" ref="DN61" ca="1">OFFSET(Horarios!$P$3,DJ61-1,0,DL61,1)</f>
        <v>1</v>
      </c>
      <c r="DO61" s="16"/>
      <c r="DP61" s="16">
        <v>4</v>
      </c>
      <c r="DQ61" s="16" t="str">
        <f t="shared" ca="1" si="198"/>
        <v>Haiti</v>
      </c>
    </row>
    <row r="62" spans="1:121" ht="16" customHeight="1" x14ac:dyDescent="0.2">
      <c r="A62" s="16" t="str">
        <f ca="1">+Equipos!B31</f>
        <v>Cape Verde</v>
      </c>
      <c r="B62" s="16"/>
      <c r="C62" s="16"/>
      <c r="D62" s="16" t="str">
        <f t="shared" si="199"/>
        <v>Pendiente</v>
      </c>
      <c r="E62" s="16" t="str">
        <f t="shared" si="200"/>
        <v>-</v>
      </c>
      <c r="F62" s="16" t="str">
        <f t="shared" si="201"/>
        <v>-</v>
      </c>
      <c r="G62" s="16"/>
      <c r="H62" s="16" t="str">
        <f t="shared" si="202"/>
        <v>-</v>
      </c>
      <c r="I62" s="16" t="str">
        <f t="shared" si="203"/>
        <v>-</v>
      </c>
      <c r="J62" s="16"/>
      <c r="K62" s="16" t="str">
        <f t="shared" si="204"/>
        <v>-</v>
      </c>
      <c r="L62" s="16" t="str">
        <f t="shared" si="205"/>
        <v>-</v>
      </c>
      <c r="M62" s="16"/>
      <c r="N62" s="16" t="str">
        <f t="shared" si="206"/>
        <v>-</v>
      </c>
      <c r="O62" s="16" t="str">
        <f t="shared" si="207"/>
        <v>-</v>
      </c>
      <c r="P62" s="16"/>
      <c r="Q62" s="16" t="str">
        <f t="shared" si="208"/>
        <v>-</v>
      </c>
      <c r="R62" s="16" t="str">
        <f t="shared" si="209"/>
        <v>-</v>
      </c>
      <c r="S62" s="16"/>
      <c r="T62" s="16" t="str">
        <f t="shared" si="210"/>
        <v>-</v>
      </c>
      <c r="U62" s="16" t="str">
        <f t="shared" si="211"/>
        <v>-</v>
      </c>
      <c r="V62" s="17"/>
      <c r="W62" s="665"/>
      <c r="X62" s="24">
        <f ca="1">Horarios!C62</f>
        <v>46194.5</v>
      </c>
      <c r="Y62" s="25">
        <f ca="1">Horarios!C62</f>
        <v>46194.5</v>
      </c>
      <c r="Z62" s="26" t="str">
        <f>$Z$6</f>
        <v>R2</v>
      </c>
      <c r="AA62" s="27" t="str">
        <f ca="1">A61</f>
        <v>Spain</v>
      </c>
      <c r="AB62" s="49" t="str" cm="1">
        <f t="array" aca="1" ref="AB62" ca="1">Ver_flag_local</f>
        <v>🇪🇸</v>
      </c>
      <c r="AC62" s="50"/>
      <c r="AD62" s="51"/>
      <c r="AE62" s="595" t="str" cm="1">
        <f t="array" aca="1" ref="AE62" ca="1">Ver_flag_visit</f>
        <v>🇸🇦</v>
      </c>
      <c r="AF62" s="32" t="str">
        <f ca="1">A63</f>
        <v>Saudi Arabia</v>
      </c>
      <c r="AG62" s="323">
        <f t="shared" si="212"/>
        <v>0</v>
      </c>
      <c r="AH62" s="195">
        <v>38</v>
      </c>
      <c r="AI62" s="181" t="str">
        <f>AJ62&amp;$B$60</f>
        <v>1H</v>
      </c>
      <c r="AJ62" s="40">
        <v>1</v>
      </c>
      <c r="AK62" s="601" t="str" cm="1">
        <f t="array" aca="1" ref="AK62" ca="1">Ver_flag_visit</f>
        <v>🇪🇸</v>
      </c>
      <c r="AL62" s="34" t="str">
        <f ca="1">IFERROR(INDEX($BD$6:$BD$53,MATCH(AI62,$BN$6:$BN$53,0)),"")</f>
        <v>Spain</v>
      </c>
      <c r="AM62" s="35">
        <f t="shared" ref="AM62:AT65" ca="1" si="215">INDEX($BE$6:$BN$53,MATCH($AL62,$BD$6:$BD$53,0),MATCH(AM$5,$BE$5:$BN$5,0))</f>
        <v>0</v>
      </c>
      <c r="AN62" s="36">
        <f t="shared" ca="1" si="215"/>
        <v>0</v>
      </c>
      <c r="AO62" s="36">
        <f t="shared" ca="1" si="215"/>
        <v>0</v>
      </c>
      <c r="AP62" s="36">
        <f t="shared" ca="1" si="215"/>
        <v>0</v>
      </c>
      <c r="AQ62" s="36">
        <f t="shared" ca="1" si="215"/>
        <v>0</v>
      </c>
      <c r="AR62" s="36">
        <f t="shared" ca="1" si="215"/>
        <v>0</v>
      </c>
      <c r="AS62" s="36">
        <f t="shared" ca="1" si="215"/>
        <v>0</v>
      </c>
      <c r="AT62" s="41">
        <f t="shared" ca="1" si="215"/>
        <v>0</v>
      </c>
      <c r="AU62" s="330">
        <f ca="1">INDEX($DL$6:$DL$53,MATCH(AI62,$DP$6:$DP$53,0))</f>
        <v>1</v>
      </c>
      <c r="AV62" s="182" t="str">
        <f ca="1">INDEX($BD$6:$BD$53,MATCH(AI62,$BM$6:$BM$53,0))</f>
        <v>Spain</v>
      </c>
      <c r="AW62" s="210"/>
      <c r="AX62" s="171"/>
      <c r="AY62" s="201" t="str">
        <f ca="1">+A61</f>
        <v>Spain</v>
      </c>
      <c r="AZ62" s="202"/>
      <c r="BA62" s="176"/>
      <c r="BB62" s="16" t="str">
        <f t="shared" si="187"/>
        <v>3E</v>
      </c>
      <c r="BC62" s="16" t="s">
        <v>3</v>
      </c>
      <c r="BD62" s="16" t="str">
        <f t="shared" ca="1" si="168"/>
        <v>Ivory Coast</v>
      </c>
      <c r="BE62" s="16">
        <f t="shared" ca="1" si="188"/>
        <v>0</v>
      </c>
      <c r="BF62" s="16">
        <f t="shared" ca="1" si="189"/>
        <v>0</v>
      </c>
      <c r="BG62" s="16">
        <f t="shared" ca="1" si="169"/>
        <v>0</v>
      </c>
      <c r="BH62" s="16">
        <f t="shared" ca="1" si="170"/>
        <v>0</v>
      </c>
      <c r="BI62" s="16">
        <f t="shared" ca="1" si="171"/>
        <v>0</v>
      </c>
      <c r="BJ62" s="16">
        <f t="shared" ca="1" si="172"/>
        <v>0</v>
      </c>
      <c r="BK62" s="16">
        <f t="shared" ca="1" si="173"/>
        <v>0</v>
      </c>
      <c r="BL62" s="16">
        <f t="shared" ca="1" si="190"/>
        <v>0</v>
      </c>
      <c r="BM62" s="16">
        <f t="shared" ca="1" si="191"/>
        <v>7</v>
      </c>
      <c r="BN62" s="16">
        <f t="shared" ca="1" si="192"/>
        <v>7</v>
      </c>
      <c r="BO62" s="16" t="str">
        <f t="shared" si="174"/>
        <v>4E</v>
      </c>
      <c r="BP62" s="16"/>
      <c r="BQ62" s="16"/>
      <c r="BR62" s="16">
        <f t="shared" ca="1" si="175"/>
        <v>0</v>
      </c>
      <c r="BS62" s="16">
        <f t="shared" ca="1" si="193"/>
        <v>1</v>
      </c>
      <c r="BT62" s="16" t="str">
        <f t="shared" ca="1" si="194"/>
        <v>Pos. 1 (12)</v>
      </c>
      <c r="BU62" s="16">
        <f t="shared" ca="1" si="176"/>
        <v>0</v>
      </c>
      <c r="BV62" s="16">
        <f t="shared" ca="1" si="177"/>
        <v>1</v>
      </c>
      <c r="BW62" s="16" t="str">
        <f t="shared" ca="1" si="178"/>
        <v>Pos. 1 (12)</v>
      </c>
      <c r="BX62" s="16">
        <f t="shared" ca="1" si="179"/>
        <v>0</v>
      </c>
      <c r="BY62" s="16">
        <f t="shared" ca="1" si="180"/>
        <v>1</v>
      </c>
      <c r="BZ62" s="16" t="str">
        <f t="shared" ca="1" si="181"/>
        <v>Pos. 1 (12)</v>
      </c>
      <c r="CA62" s="16">
        <f t="shared" ca="1" si="182"/>
        <v>5</v>
      </c>
      <c r="CB62" s="16">
        <f t="shared" ca="1" si="195"/>
        <v>7</v>
      </c>
      <c r="CC62" s="16"/>
      <c r="CD62" s="16">
        <f t="shared" ca="1" si="183"/>
        <v>7</v>
      </c>
      <c r="CE62" s="16">
        <f t="shared" ca="1" si="196"/>
        <v>6</v>
      </c>
      <c r="CF62" s="16">
        <f t="shared" ca="1" si="197"/>
        <v>7</v>
      </c>
      <c r="DJ62" s="16">
        <f t="shared" ca="1" si="184"/>
        <v>1</v>
      </c>
      <c r="DK62" s="16"/>
      <c r="DL62" s="16">
        <f t="shared" ca="1" si="185"/>
        <v>1</v>
      </c>
      <c r="DM62" s="16" t="str">
        <f t="shared" ca="1" si="186"/>
        <v>1.1</v>
      </c>
      <c r="DN62" s="16" cm="1">
        <f t="array" aca="1" ref="DN62" ca="1">OFFSET(Horarios!$P$3,DJ62-1,0,DL62,1)</f>
        <v>1</v>
      </c>
      <c r="DO62" s="16"/>
      <c r="DP62" s="16">
        <v>5</v>
      </c>
      <c r="DQ62" s="16" t="str">
        <f t="shared" ca="1" si="198"/>
        <v>Iran</v>
      </c>
    </row>
    <row r="63" spans="1:121" ht="16" customHeight="1" x14ac:dyDescent="0.2">
      <c r="A63" s="16" t="str">
        <f ca="1">+Equipos!B32</f>
        <v>Saudi Arabia</v>
      </c>
      <c r="B63" s="16"/>
      <c r="C63" s="16"/>
      <c r="D63" s="16" t="str">
        <f t="shared" si="199"/>
        <v>Pendiente</v>
      </c>
      <c r="E63" s="16" t="str">
        <f t="shared" si="200"/>
        <v>-</v>
      </c>
      <c r="F63" s="16" t="str">
        <f t="shared" si="201"/>
        <v>-</v>
      </c>
      <c r="G63" s="16"/>
      <c r="H63" s="16" t="str">
        <f t="shared" si="202"/>
        <v>-</v>
      </c>
      <c r="I63" s="16" t="str">
        <f t="shared" si="203"/>
        <v>-</v>
      </c>
      <c r="J63" s="16"/>
      <c r="K63" s="16" t="str">
        <f t="shared" si="204"/>
        <v>-</v>
      </c>
      <c r="L63" s="16" t="str">
        <f t="shared" si="205"/>
        <v>-</v>
      </c>
      <c r="M63" s="16"/>
      <c r="N63" s="16" t="str">
        <f t="shared" si="206"/>
        <v>-</v>
      </c>
      <c r="O63" s="16" t="str">
        <f t="shared" si="207"/>
        <v>-</v>
      </c>
      <c r="P63" s="16"/>
      <c r="Q63" s="16" t="str">
        <f t="shared" si="208"/>
        <v>-</v>
      </c>
      <c r="R63" s="16" t="str">
        <f t="shared" si="209"/>
        <v>-</v>
      </c>
      <c r="S63" s="16"/>
      <c r="T63" s="16" t="str">
        <f t="shared" si="210"/>
        <v>-</v>
      </c>
      <c r="U63" s="16" t="str">
        <f t="shared" si="211"/>
        <v>-</v>
      </c>
      <c r="V63" s="17"/>
      <c r="W63" s="665"/>
      <c r="X63" s="24">
        <f ca="1">Horarios!C63</f>
        <v>46194.75</v>
      </c>
      <c r="Y63" s="25">
        <f ca="1">Horarios!C63</f>
        <v>46194.75</v>
      </c>
      <c r="Z63" s="26" t="str">
        <f>$Z$6</f>
        <v>R2</v>
      </c>
      <c r="AA63" s="27" t="str">
        <f ca="1">A64</f>
        <v>Uruguay</v>
      </c>
      <c r="AB63" s="49" t="str" cm="1">
        <f t="array" aca="1" ref="AB63" ca="1">Ver_flag_local</f>
        <v>🇺🇾</v>
      </c>
      <c r="AC63" s="50"/>
      <c r="AD63" s="51"/>
      <c r="AE63" s="595" t="str" cm="1">
        <f t="array" aca="1" ref="AE63" ca="1">Ver_flag_visit</f>
        <v>🇨🇻</v>
      </c>
      <c r="AF63" s="32" t="str">
        <f ca="1">A62</f>
        <v>Cape Verde</v>
      </c>
      <c r="AG63" s="323">
        <f t="shared" si="212"/>
        <v>0</v>
      </c>
      <c r="AH63" s="195">
        <v>37</v>
      </c>
      <c r="AI63" s="181" t="str">
        <f t="shared" ref="AI63:AI65" si="216">AJ63&amp;$B$60</f>
        <v>2H</v>
      </c>
      <c r="AJ63" s="42">
        <v>2</v>
      </c>
      <c r="AK63" s="602" t="str" cm="1">
        <f t="array" aca="1" ref="AK63" ca="1">Ver_flag_visit</f>
        <v>🇨🇻</v>
      </c>
      <c r="AL63" s="37" t="str">
        <f ca="1">IFERROR(INDEX($BD$6:$BD$53,MATCH(AI63,$BN$6:$BN$53,0)),"")</f>
        <v>Cape Verde</v>
      </c>
      <c r="AM63" s="38">
        <f t="shared" ca="1" si="215"/>
        <v>0</v>
      </c>
      <c r="AN63" s="39">
        <f t="shared" ca="1" si="215"/>
        <v>0</v>
      </c>
      <c r="AO63" s="39">
        <f t="shared" ca="1" si="215"/>
        <v>0</v>
      </c>
      <c r="AP63" s="39">
        <f t="shared" ca="1" si="215"/>
        <v>0</v>
      </c>
      <c r="AQ63" s="39">
        <f t="shared" ca="1" si="215"/>
        <v>0</v>
      </c>
      <c r="AR63" s="39">
        <f t="shared" ca="1" si="215"/>
        <v>0</v>
      </c>
      <c r="AS63" s="39">
        <f t="shared" ca="1" si="215"/>
        <v>0</v>
      </c>
      <c r="AT63" s="43">
        <f t="shared" ca="1" si="215"/>
        <v>0</v>
      </c>
      <c r="AU63" s="330">
        <f ca="1">INDEX($DL$6:$DL$53,MATCH(AI63,$DP$6:$DP$53,0))</f>
        <v>1</v>
      </c>
      <c r="AV63" s="182" t="str">
        <f ca="1">INDEX($BD$6:$BD$53,MATCH(AI63,$BM$6:$BM$53,0))</f>
        <v>Cape Verde</v>
      </c>
      <c r="AW63" s="210"/>
      <c r="AX63" s="171"/>
      <c r="AY63" s="203" t="str">
        <f ca="1">+A62</f>
        <v>Cape Verde</v>
      </c>
      <c r="AZ63" s="204"/>
      <c r="BA63" s="176"/>
      <c r="BB63" s="16" t="str">
        <f t="shared" si="187"/>
        <v>3F</v>
      </c>
      <c r="BC63" s="16" t="s">
        <v>4</v>
      </c>
      <c r="BD63" s="16" t="str">
        <f t="shared" ca="1" si="168"/>
        <v>Sweden</v>
      </c>
      <c r="BE63" s="16">
        <f t="shared" ca="1" si="188"/>
        <v>0</v>
      </c>
      <c r="BF63" s="16">
        <f t="shared" ca="1" si="189"/>
        <v>0</v>
      </c>
      <c r="BG63" s="16">
        <f t="shared" ca="1" si="169"/>
        <v>0</v>
      </c>
      <c r="BH63" s="16">
        <f t="shared" ca="1" si="170"/>
        <v>0</v>
      </c>
      <c r="BI63" s="16">
        <f t="shared" ca="1" si="171"/>
        <v>0</v>
      </c>
      <c r="BJ63" s="16">
        <f t="shared" ca="1" si="172"/>
        <v>0</v>
      </c>
      <c r="BK63" s="16">
        <f t="shared" ca="1" si="173"/>
        <v>0</v>
      </c>
      <c r="BL63" s="16">
        <f t="shared" ca="1" si="190"/>
        <v>0</v>
      </c>
      <c r="BM63" s="16">
        <f t="shared" ca="1" si="191"/>
        <v>11</v>
      </c>
      <c r="BN63" s="16">
        <f t="shared" ca="1" si="192"/>
        <v>11</v>
      </c>
      <c r="BO63" s="16" t="str">
        <f t="shared" si="174"/>
        <v>4F</v>
      </c>
      <c r="BP63" s="16"/>
      <c r="BQ63" s="16"/>
      <c r="BR63" s="16">
        <f t="shared" ca="1" si="175"/>
        <v>0</v>
      </c>
      <c r="BS63" s="16">
        <f t="shared" ca="1" si="193"/>
        <v>1</v>
      </c>
      <c r="BT63" s="16" t="str">
        <f t="shared" ca="1" si="194"/>
        <v>Pos. 1 (12)</v>
      </c>
      <c r="BU63" s="16">
        <f t="shared" ca="1" si="176"/>
        <v>0</v>
      </c>
      <c r="BV63" s="16">
        <f t="shared" ca="1" si="177"/>
        <v>1</v>
      </c>
      <c r="BW63" s="16" t="str">
        <f t="shared" ca="1" si="178"/>
        <v>Pos. 1 (12)</v>
      </c>
      <c r="BX63" s="16">
        <f t="shared" ca="1" si="179"/>
        <v>0</v>
      </c>
      <c r="BY63" s="16">
        <f t="shared" ca="1" si="180"/>
        <v>1</v>
      </c>
      <c r="BZ63" s="16" t="str">
        <f t="shared" ca="1" si="181"/>
        <v>Pos. 1 (12)</v>
      </c>
      <c r="CA63" s="16">
        <f t="shared" ca="1" si="182"/>
        <v>1</v>
      </c>
      <c r="CB63" s="16">
        <f t="shared" ca="1" si="195"/>
        <v>11</v>
      </c>
      <c r="CC63" s="16"/>
      <c r="CD63" s="16">
        <f t="shared" ca="1" si="183"/>
        <v>11</v>
      </c>
      <c r="CE63" s="16">
        <f t="shared" ca="1" si="196"/>
        <v>10</v>
      </c>
      <c r="CF63" s="16">
        <f t="shared" ca="1" si="197"/>
        <v>11</v>
      </c>
      <c r="DJ63" s="16">
        <f t="shared" ca="1" si="184"/>
        <v>1</v>
      </c>
      <c r="DK63" s="16"/>
      <c r="DL63" s="16">
        <f t="shared" ca="1" si="185"/>
        <v>1</v>
      </c>
      <c r="DM63" s="16" t="str">
        <f t="shared" ca="1" si="186"/>
        <v>1.1</v>
      </c>
      <c r="DN63" s="16" cm="1">
        <f t="array" aca="1" ref="DN63" ca="1">OFFSET(Horarios!$P$3,DJ63-1,0,DL63,1)</f>
        <v>1</v>
      </c>
      <c r="DO63" s="16"/>
      <c r="DP63" s="16">
        <v>6</v>
      </c>
      <c r="DQ63" s="16" t="str">
        <f t="shared" ca="1" si="198"/>
        <v>Iraq</v>
      </c>
    </row>
    <row r="64" spans="1:121" ht="16" customHeight="1" x14ac:dyDescent="0.2">
      <c r="A64" s="16" t="str">
        <f ca="1">+Equipos!B33</f>
        <v>Uruguay</v>
      </c>
      <c r="B64" s="16"/>
      <c r="C64" s="16"/>
      <c r="D64" s="16" t="str">
        <f t="shared" si="199"/>
        <v>Pendiente</v>
      </c>
      <c r="E64" s="16" t="str">
        <f t="shared" si="200"/>
        <v>-</v>
      </c>
      <c r="F64" s="16" t="str">
        <f t="shared" si="201"/>
        <v>-</v>
      </c>
      <c r="G64" s="16"/>
      <c r="H64" s="16" t="str">
        <f t="shared" si="202"/>
        <v>-</v>
      </c>
      <c r="I64" s="16" t="str">
        <f t="shared" si="203"/>
        <v>-</v>
      </c>
      <c r="J64" s="16"/>
      <c r="K64" s="16" t="str">
        <f t="shared" si="204"/>
        <v>-</v>
      </c>
      <c r="L64" s="16" t="str">
        <f t="shared" si="205"/>
        <v>-</v>
      </c>
      <c r="M64" s="16"/>
      <c r="N64" s="16" t="str">
        <f t="shared" si="206"/>
        <v>-</v>
      </c>
      <c r="O64" s="16" t="str">
        <f t="shared" si="207"/>
        <v>-</v>
      </c>
      <c r="P64" s="16"/>
      <c r="Q64" s="16" t="str">
        <f t="shared" si="208"/>
        <v>-</v>
      </c>
      <c r="R64" s="16" t="str">
        <f t="shared" si="209"/>
        <v>-</v>
      </c>
      <c r="S64" s="16"/>
      <c r="T64" s="16" t="str">
        <f t="shared" si="210"/>
        <v>-</v>
      </c>
      <c r="U64" s="16" t="str">
        <f t="shared" si="211"/>
        <v>-</v>
      </c>
      <c r="V64" s="17"/>
      <c r="W64" s="665"/>
      <c r="X64" s="24">
        <f ca="1">Horarios!C64</f>
        <v>46199.833333333336</v>
      </c>
      <c r="Y64" s="25">
        <f ca="1">Horarios!C64</f>
        <v>46199.833333333336</v>
      </c>
      <c r="Z64" s="26" t="str">
        <f>$Z$8</f>
        <v>R3</v>
      </c>
      <c r="AA64" s="27" t="str">
        <f ca="1">A62</f>
        <v>Cape Verde</v>
      </c>
      <c r="AB64" s="49" t="str" cm="1">
        <f t="array" aca="1" ref="AB64" ca="1">Ver_flag_local</f>
        <v>🇨🇻</v>
      </c>
      <c r="AC64" s="50"/>
      <c r="AD64" s="51"/>
      <c r="AE64" s="595" t="str" cm="1">
        <f t="array" aca="1" ref="AE64" ca="1">Ver_flag_visit</f>
        <v>🇸🇦</v>
      </c>
      <c r="AF64" s="32" t="str">
        <f ca="1">A63</f>
        <v>Saudi Arabia</v>
      </c>
      <c r="AG64" s="323">
        <f t="shared" si="212"/>
        <v>0</v>
      </c>
      <c r="AH64" s="195">
        <v>65</v>
      </c>
      <c r="AI64" s="181" t="str">
        <f t="shared" si="216"/>
        <v>3H</v>
      </c>
      <c r="AJ64" s="42">
        <v>3</v>
      </c>
      <c r="AK64" s="602" t="str" cm="1">
        <f t="array" aca="1" ref="AK64" ca="1">Ver_flag_visit</f>
        <v>🇸🇦</v>
      </c>
      <c r="AL64" s="37" t="str">
        <f ca="1">IFERROR(INDEX($BD$6:$BD$53,MATCH(AI64,$BN$6:$BN$53,0)),"")</f>
        <v>Saudi Arabia</v>
      </c>
      <c r="AM64" s="38">
        <f t="shared" ca="1" si="215"/>
        <v>0</v>
      </c>
      <c r="AN64" s="39">
        <f t="shared" ca="1" si="215"/>
        <v>0</v>
      </c>
      <c r="AO64" s="39">
        <f t="shared" ca="1" si="215"/>
        <v>0</v>
      </c>
      <c r="AP64" s="39">
        <f t="shared" ca="1" si="215"/>
        <v>0</v>
      </c>
      <c r="AQ64" s="39">
        <f t="shared" ca="1" si="215"/>
        <v>0</v>
      </c>
      <c r="AR64" s="39">
        <f t="shared" ca="1" si="215"/>
        <v>0</v>
      </c>
      <c r="AS64" s="39">
        <f t="shared" ca="1" si="215"/>
        <v>0</v>
      </c>
      <c r="AT64" s="43">
        <f t="shared" ca="1" si="215"/>
        <v>0</v>
      </c>
      <c r="AU64" s="330">
        <f ca="1">INDEX($DL$6:$DL$53,MATCH(AI64,$DP$6:$DP$53,0))</f>
        <v>1</v>
      </c>
      <c r="AV64" s="182" t="str">
        <f ca="1">INDEX($BD$6:$BD$53,MATCH(AI64,$BM$6:$BM$53,0))</f>
        <v>Saudi Arabia</v>
      </c>
      <c r="AW64" s="210"/>
      <c r="AX64" s="171"/>
      <c r="AY64" s="201" t="str">
        <f ca="1">+A63</f>
        <v>Saudi Arabia</v>
      </c>
      <c r="AZ64" s="202"/>
      <c r="BA64" s="176"/>
      <c r="BB64" s="16" t="str">
        <f t="shared" si="187"/>
        <v>3G</v>
      </c>
      <c r="BC64" s="16" t="s">
        <v>6</v>
      </c>
      <c r="BD64" s="16" t="str">
        <f t="shared" ca="1" si="168"/>
        <v>Iran</v>
      </c>
      <c r="BE64" s="16">
        <f t="shared" ca="1" si="188"/>
        <v>0</v>
      </c>
      <c r="BF64" s="16">
        <f t="shared" ca="1" si="189"/>
        <v>0</v>
      </c>
      <c r="BG64" s="16">
        <f t="shared" ca="1" si="169"/>
        <v>0</v>
      </c>
      <c r="BH64" s="16">
        <f t="shared" ca="1" si="170"/>
        <v>0</v>
      </c>
      <c r="BI64" s="16">
        <f t="shared" ca="1" si="171"/>
        <v>0</v>
      </c>
      <c r="BJ64" s="16">
        <f t="shared" ca="1" si="172"/>
        <v>0</v>
      </c>
      <c r="BK64" s="16">
        <f t="shared" ca="1" si="173"/>
        <v>0</v>
      </c>
      <c r="BL64" s="16">
        <f t="shared" ca="1" si="190"/>
        <v>0</v>
      </c>
      <c r="BM64" s="16">
        <f t="shared" ca="1" si="191"/>
        <v>5</v>
      </c>
      <c r="BN64" s="16">
        <f t="shared" ca="1" si="192"/>
        <v>5</v>
      </c>
      <c r="BO64" s="16" t="str">
        <f t="shared" si="174"/>
        <v>4G</v>
      </c>
      <c r="BP64" s="16"/>
      <c r="BQ64" s="16"/>
      <c r="BR64" s="16">
        <f t="shared" ca="1" si="175"/>
        <v>0</v>
      </c>
      <c r="BS64" s="16">
        <f t="shared" ca="1" si="193"/>
        <v>1</v>
      </c>
      <c r="BT64" s="16" t="str">
        <f t="shared" ca="1" si="194"/>
        <v>Pos. 1 (12)</v>
      </c>
      <c r="BU64" s="16">
        <f t="shared" ca="1" si="176"/>
        <v>0</v>
      </c>
      <c r="BV64" s="16">
        <f t="shared" ca="1" si="177"/>
        <v>1</v>
      </c>
      <c r="BW64" s="16" t="str">
        <f t="shared" ca="1" si="178"/>
        <v>Pos. 1 (12)</v>
      </c>
      <c r="BX64" s="16">
        <f t="shared" ca="1" si="179"/>
        <v>0</v>
      </c>
      <c r="BY64" s="16">
        <f t="shared" ca="1" si="180"/>
        <v>1</v>
      </c>
      <c r="BZ64" s="16" t="str">
        <f t="shared" ca="1" si="181"/>
        <v>Pos. 1 (12)</v>
      </c>
      <c r="CA64" s="16">
        <f t="shared" ca="1" si="182"/>
        <v>7</v>
      </c>
      <c r="CB64" s="16">
        <f t="shared" ca="1" si="195"/>
        <v>5</v>
      </c>
      <c r="CC64" s="16"/>
      <c r="CD64" s="16">
        <f t="shared" ca="1" si="183"/>
        <v>5</v>
      </c>
      <c r="CE64" s="16">
        <f t="shared" ca="1" si="196"/>
        <v>4</v>
      </c>
      <c r="CF64" s="16">
        <f t="shared" ca="1" si="197"/>
        <v>5</v>
      </c>
      <c r="DJ64" s="16">
        <f t="shared" ca="1" si="184"/>
        <v>1</v>
      </c>
      <c r="DK64" s="16"/>
      <c r="DL64" s="16">
        <f t="shared" ca="1" si="185"/>
        <v>1</v>
      </c>
      <c r="DM64" s="16" t="str">
        <f t="shared" ca="1" si="186"/>
        <v>1.1</v>
      </c>
      <c r="DN64" s="16" cm="1">
        <f t="array" aca="1" ref="DN64" ca="1">OFFSET(Horarios!$P$3,DJ64-1,0,DL64,1)</f>
        <v>1</v>
      </c>
      <c r="DO64" s="16"/>
      <c r="DP64" s="16">
        <v>7</v>
      </c>
      <c r="DQ64" s="16" t="str">
        <f t="shared" ca="1" si="198"/>
        <v>Ivory Coast</v>
      </c>
    </row>
    <row r="65" spans="1:121" ht="16" customHeight="1" thickBot="1" x14ac:dyDescent="0.25">
      <c r="A65" s="16"/>
      <c r="B65" s="16"/>
      <c r="C65" s="16"/>
      <c r="D65" s="16" t="str">
        <f t="shared" si="199"/>
        <v>Pendiente</v>
      </c>
      <c r="E65" s="16" t="str">
        <f t="shared" si="200"/>
        <v>-</v>
      </c>
      <c r="F65" s="16" t="str">
        <f t="shared" si="201"/>
        <v>-</v>
      </c>
      <c r="G65" s="16"/>
      <c r="H65" s="16" t="str">
        <f t="shared" si="202"/>
        <v>-</v>
      </c>
      <c r="I65" s="16" t="str">
        <f t="shared" si="203"/>
        <v>-</v>
      </c>
      <c r="J65" s="16"/>
      <c r="K65" s="16" t="str">
        <f t="shared" si="204"/>
        <v>-</v>
      </c>
      <c r="L65" s="16" t="str">
        <f t="shared" si="205"/>
        <v>-</v>
      </c>
      <c r="M65" s="16"/>
      <c r="N65" s="16" t="str">
        <f t="shared" si="206"/>
        <v>-</v>
      </c>
      <c r="O65" s="16" t="str">
        <f t="shared" si="207"/>
        <v>-</v>
      </c>
      <c r="P65" s="16"/>
      <c r="Q65" s="16" t="str">
        <f t="shared" si="208"/>
        <v>-</v>
      </c>
      <c r="R65" s="16" t="str">
        <f t="shared" si="209"/>
        <v>-</v>
      </c>
      <c r="S65" s="16"/>
      <c r="T65" s="16" t="str">
        <f t="shared" si="210"/>
        <v>-</v>
      </c>
      <c r="U65" s="16" t="str">
        <f t="shared" si="211"/>
        <v>-</v>
      </c>
      <c r="V65" s="17"/>
      <c r="W65" s="666"/>
      <c r="X65" s="28">
        <f ca="1">Horarios!C65</f>
        <v>46199.833333333336</v>
      </c>
      <c r="Y65" s="29">
        <f ca="1">Horarios!C65</f>
        <v>46199.833333333336</v>
      </c>
      <c r="Z65" s="30" t="str">
        <f>$Z$8</f>
        <v>R3</v>
      </c>
      <c r="AA65" s="31" t="str">
        <f ca="1">A64</f>
        <v>Uruguay</v>
      </c>
      <c r="AB65" s="52" t="str" cm="1">
        <f t="array" aca="1" ref="AB65" ca="1">Ver_flag_local</f>
        <v>🇺🇾</v>
      </c>
      <c r="AC65" s="53"/>
      <c r="AD65" s="54"/>
      <c r="AE65" s="596" t="str" cm="1">
        <f t="array" aca="1" ref="AE65" ca="1">Ver_flag_visit</f>
        <v>🇪🇸</v>
      </c>
      <c r="AF65" s="33" t="str">
        <f ca="1">A61</f>
        <v>Spain</v>
      </c>
      <c r="AG65" s="323">
        <f t="shared" si="212"/>
        <v>0</v>
      </c>
      <c r="AH65" s="195">
        <v>66</v>
      </c>
      <c r="AI65" s="181" t="str">
        <f t="shared" si="216"/>
        <v>4H</v>
      </c>
      <c r="AJ65" s="44">
        <v>4</v>
      </c>
      <c r="AK65" s="604" t="str" cm="1">
        <f t="array" aca="1" ref="AK65" ca="1">Ver_flag_visit</f>
        <v>🇺🇾</v>
      </c>
      <c r="AL65" s="45" t="str">
        <f ca="1">IFERROR(INDEX($BD$6:$BD$53,MATCH(AI65,$BN$6:$BN$53,0)),"")</f>
        <v>Uruguay</v>
      </c>
      <c r="AM65" s="46">
        <f t="shared" ca="1" si="215"/>
        <v>0</v>
      </c>
      <c r="AN65" s="47">
        <f t="shared" ca="1" si="215"/>
        <v>0</v>
      </c>
      <c r="AO65" s="47">
        <f t="shared" ca="1" si="215"/>
        <v>0</v>
      </c>
      <c r="AP65" s="47">
        <f t="shared" ca="1" si="215"/>
        <v>0</v>
      </c>
      <c r="AQ65" s="47">
        <f t="shared" ca="1" si="215"/>
        <v>0</v>
      </c>
      <c r="AR65" s="47">
        <f t="shared" ca="1" si="215"/>
        <v>0</v>
      </c>
      <c r="AS65" s="47">
        <f t="shared" ca="1" si="215"/>
        <v>0</v>
      </c>
      <c r="AT65" s="48">
        <f t="shared" ca="1" si="215"/>
        <v>0</v>
      </c>
      <c r="AU65" s="330">
        <f ca="1">INDEX($DL$6:$DL$53,MATCH(AI65,$DP$6:$DP$53,0))</f>
        <v>1</v>
      </c>
      <c r="AV65" s="182" t="str">
        <f ca="1">INDEX($BD$6:$BD$53,MATCH(AI65,$BM$6:$BM$53,0))</f>
        <v>Uruguay</v>
      </c>
      <c r="AW65" s="210"/>
      <c r="AX65" s="171"/>
      <c r="AY65" s="205" t="str">
        <f ca="1">+A64</f>
        <v>Uruguay</v>
      </c>
      <c r="AZ65" s="206"/>
      <c r="BA65" s="176"/>
      <c r="BB65" s="16" t="str">
        <f t="shared" si="187"/>
        <v>3H</v>
      </c>
      <c r="BC65" s="16" t="s">
        <v>447</v>
      </c>
      <c r="BD65" s="16" t="str">
        <f t="shared" ca="1" si="168"/>
        <v>Saudi Arabia</v>
      </c>
      <c r="BE65" s="16">
        <f t="shared" ca="1" si="188"/>
        <v>0</v>
      </c>
      <c r="BF65" s="16">
        <f t="shared" ca="1" si="189"/>
        <v>0</v>
      </c>
      <c r="BG65" s="16">
        <f t="shared" ca="1" si="169"/>
        <v>0</v>
      </c>
      <c r="BH65" s="16">
        <f t="shared" ca="1" si="170"/>
        <v>0</v>
      </c>
      <c r="BI65" s="16">
        <f t="shared" ca="1" si="171"/>
        <v>0</v>
      </c>
      <c r="BJ65" s="16">
        <f t="shared" ca="1" si="172"/>
        <v>0</v>
      </c>
      <c r="BK65" s="16">
        <f t="shared" ca="1" si="173"/>
        <v>0</v>
      </c>
      <c r="BL65" s="16">
        <f t="shared" ca="1" si="190"/>
        <v>0</v>
      </c>
      <c r="BM65" s="16">
        <f t="shared" ca="1" si="191"/>
        <v>9</v>
      </c>
      <c r="BN65" s="16">
        <f t="shared" ca="1" si="192"/>
        <v>9</v>
      </c>
      <c r="BO65" s="16" t="str">
        <f t="shared" si="174"/>
        <v>4H</v>
      </c>
      <c r="BP65" s="16"/>
      <c r="BQ65" s="16"/>
      <c r="BR65" s="16">
        <f t="shared" ca="1" si="175"/>
        <v>0</v>
      </c>
      <c r="BS65" s="16">
        <f t="shared" ca="1" si="193"/>
        <v>1</v>
      </c>
      <c r="BT65" s="16" t="str">
        <f t="shared" ca="1" si="194"/>
        <v>Pos. 1 (12)</v>
      </c>
      <c r="BU65" s="16">
        <f t="shared" ca="1" si="176"/>
        <v>0</v>
      </c>
      <c r="BV65" s="16">
        <f t="shared" ca="1" si="177"/>
        <v>1</v>
      </c>
      <c r="BW65" s="16" t="str">
        <f t="shared" ca="1" si="178"/>
        <v>Pos. 1 (12)</v>
      </c>
      <c r="BX65" s="16">
        <f t="shared" ca="1" si="179"/>
        <v>0</v>
      </c>
      <c r="BY65" s="16">
        <f t="shared" ca="1" si="180"/>
        <v>1</v>
      </c>
      <c r="BZ65" s="16" t="str">
        <f t="shared" ca="1" si="181"/>
        <v>Pos. 1 (12)</v>
      </c>
      <c r="CA65" s="16">
        <f t="shared" ca="1" si="182"/>
        <v>3</v>
      </c>
      <c r="CB65" s="16">
        <f t="shared" ca="1" si="195"/>
        <v>9</v>
      </c>
      <c r="CC65" s="16"/>
      <c r="CD65" s="16">
        <f t="shared" ca="1" si="183"/>
        <v>9</v>
      </c>
      <c r="CE65" s="16">
        <f t="shared" ca="1" si="196"/>
        <v>8</v>
      </c>
      <c r="CF65" s="16">
        <f t="shared" ca="1" si="197"/>
        <v>9</v>
      </c>
      <c r="DJ65" s="16">
        <f t="shared" ca="1" si="184"/>
        <v>1</v>
      </c>
      <c r="DK65" s="16"/>
      <c r="DL65" s="16">
        <f t="shared" ca="1" si="185"/>
        <v>1</v>
      </c>
      <c r="DM65" s="16" t="str">
        <f t="shared" ca="1" si="186"/>
        <v>1.1</v>
      </c>
      <c r="DN65" s="16" cm="1">
        <f t="array" aca="1" ref="DN65" ca="1">OFFSET(Horarios!$P$3,DJ65-1,0,DL65,1)</f>
        <v>1</v>
      </c>
      <c r="DO65" s="16"/>
      <c r="DP65" s="16">
        <v>8</v>
      </c>
      <c r="DQ65" s="16" t="str">
        <f t="shared" ca="1" si="198"/>
        <v>Qatar</v>
      </c>
    </row>
    <row r="66" spans="1:121" ht="16" customHeight="1" thickBot="1" x14ac:dyDescent="0.25">
      <c r="A66" s="16"/>
      <c r="B66" s="16"/>
      <c r="C66" s="16"/>
      <c r="D66" s="16"/>
      <c r="E66" s="16"/>
      <c r="F66" s="16"/>
      <c r="G66" s="16"/>
      <c r="H66" s="16"/>
      <c r="I66" s="16"/>
      <c r="J66" s="16"/>
      <c r="K66" s="16"/>
      <c r="L66" s="16"/>
      <c r="M66" s="16"/>
      <c r="N66" s="16"/>
      <c r="O66" s="16"/>
      <c r="P66" s="16"/>
      <c r="Q66" s="16"/>
      <c r="R66" s="16"/>
      <c r="S66" s="16"/>
      <c r="T66" s="16"/>
      <c r="U66" s="16"/>
      <c r="V66" s="17"/>
      <c r="W66" s="154"/>
      <c r="X66" s="155"/>
      <c r="Y66" s="154"/>
      <c r="Z66" s="156"/>
      <c r="AA66" s="157"/>
      <c r="AB66" s="158"/>
      <c r="AC66" s="151"/>
      <c r="AD66" s="151"/>
      <c r="AE66" s="158"/>
      <c r="AF66" s="159"/>
      <c r="AG66" s="325"/>
      <c r="AH66" s="195"/>
      <c r="AI66" s="180"/>
      <c r="AJ66" s="160"/>
      <c r="AK66" s="161"/>
      <c r="AL66" s="162"/>
      <c r="AM66" s="163"/>
      <c r="AN66" s="160"/>
      <c r="AO66" s="160"/>
      <c r="AP66" s="160"/>
      <c r="AQ66" s="160"/>
      <c r="AR66" s="160"/>
      <c r="AS66" s="160"/>
      <c r="AT66" s="160"/>
      <c r="AU66" s="330"/>
      <c r="AV66" s="189"/>
      <c r="AW66" s="211"/>
      <c r="AX66" s="171"/>
      <c r="AY66" s="154"/>
      <c r="AZ66" s="155"/>
      <c r="BA66" s="176"/>
      <c r="BB66" s="16" t="str">
        <f t="shared" si="187"/>
        <v>3I</v>
      </c>
      <c r="BC66" s="16" t="s">
        <v>448</v>
      </c>
      <c r="BD66" s="16" t="str">
        <f t="shared" ca="1" si="168"/>
        <v>Iraq</v>
      </c>
      <c r="BE66" s="16">
        <f t="shared" ca="1" si="188"/>
        <v>0</v>
      </c>
      <c r="BF66" s="16">
        <f t="shared" ca="1" si="189"/>
        <v>0</v>
      </c>
      <c r="BG66" s="16">
        <f t="shared" ca="1" si="169"/>
        <v>0</v>
      </c>
      <c r="BH66" s="16">
        <f t="shared" ca="1" si="170"/>
        <v>0</v>
      </c>
      <c r="BI66" s="16">
        <f t="shared" ca="1" si="171"/>
        <v>0</v>
      </c>
      <c r="BJ66" s="16">
        <f t="shared" ca="1" si="172"/>
        <v>0</v>
      </c>
      <c r="BK66" s="16">
        <f t="shared" ca="1" si="173"/>
        <v>0</v>
      </c>
      <c r="BL66" s="16">
        <f t="shared" ca="1" si="190"/>
        <v>0</v>
      </c>
      <c r="BM66" s="16">
        <f t="shared" ca="1" si="191"/>
        <v>6</v>
      </c>
      <c r="BN66" s="16">
        <f t="shared" ca="1" si="192"/>
        <v>6</v>
      </c>
      <c r="BO66" s="16" t="str">
        <f t="shared" si="174"/>
        <v>4I</v>
      </c>
      <c r="BP66" s="16"/>
      <c r="BQ66" s="16"/>
      <c r="BR66" s="16">
        <f t="shared" ca="1" si="175"/>
        <v>0</v>
      </c>
      <c r="BS66" s="16">
        <f t="shared" ca="1" si="193"/>
        <v>1</v>
      </c>
      <c r="BT66" s="16" t="str">
        <f t="shared" ca="1" si="194"/>
        <v>Pos. 1 (12)</v>
      </c>
      <c r="BU66" s="16">
        <f t="shared" ca="1" si="176"/>
        <v>0</v>
      </c>
      <c r="BV66" s="16">
        <f t="shared" ca="1" si="177"/>
        <v>1</v>
      </c>
      <c r="BW66" s="16" t="str">
        <f t="shared" ca="1" si="178"/>
        <v>Pos. 1 (12)</v>
      </c>
      <c r="BX66" s="16">
        <f t="shared" ca="1" si="179"/>
        <v>0</v>
      </c>
      <c r="BY66" s="16">
        <f t="shared" ca="1" si="180"/>
        <v>1</v>
      </c>
      <c r="BZ66" s="16" t="str">
        <f t="shared" ca="1" si="181"/>
        <v>Pos. 1 (12)</v>
      </c>
      <c r="CA66" s="16">
        <f t="shared" ca="1" si="182"/>
        <v>6</v>
      </c>
      <c r="CB66" s="16">
        <f t="shared" ca="1" si="195"/>
        <v>6</v>
      </c>
      <c r="CC66" s="16"/>
      <c r="CD66" s="16">
        <f t="shared" ca="1" si="183"/>
        <v>6</v>
      </c>
      <c r="CE66" s="16">
        <f t="shared" ca="1" si="196"/>
        <v>5</v>
      </c>
      <c r="CF66" s="16">
        <f t="shared" ca="1" si="197"/>
        <v>6</v>
      </c>
      <c r="DJ66" s="16">
        <f t="shared" ca="1" si="184"/>
        <v>1</v>
      </c>
      <c r="DK66" s="16"/>
      <c r="DL66" s="16">
        <f t="shared" ca="1" si="185"/>
        <v>1</v>
      </c>
      <c r="DM66" s="16" t="str">
        <f t="shared" ca="1" si="186"/>
        <v>1.1</v>
      </c>
      <c r="DN66" s="16" cm="1">
        <f t="array" aca="1" ref="DN66" ca="1">OFFSET(Horarios!$P$3,DJ66-1,0,DL66,1)</f>
        <v>1</v>
      </c>
      <c r="DO66" s="16"/>
      <c r="DP66" s="16">
        <v>9</v>
      </c>
      <c r="DQ66" s="16" t="str">
        <f t="shared" ca="1" si="198"/>
        <v>Saudi Arabia</v>
      </c>
    </row>
    <row r="67" spans="1:121" ht="16" customHeight="1" thickBot="1" x14ac:dyDescent="0.25">
      <c r="A67" s="16"/>
      <c r="B67" s="16"/>
      <c r="C67" s="16"/>
      <c r="D67" s="16"/>
      <c r="E67" s="16"/>
      <c r="F67" s="16"/>
      <c r="G67" s="16"/>
      <c r="H67" s="16"/>
      <c r="I67" s="16"/>
      <c r="J67" s="16"/>
      <c r="K67" s="16"/>
      <c r="L67" s="16"/>
      <c r="M67" s="16"/>
      <c r="N67" s="16"/>
      <c r="O67" s="16"/>
      <c r="P67" s="16"/>
      <c r="Q67" s="16"/>
      <c r="R67" s="16"/>
      <c r="S67" s="16"/>
      <c r="T67" s="16"/>
      <c r="U67" s="16"/>
      <c r="V67" s="17"/>
      <c r="W67" s="8"/>
      <c r="X67" s="69" t="str">
        <f>X3</f>
        <v>Date</v>
      </c>
      <c r="Y67" s="69" t="str">
        <f>Y3</f>
        <v>Hour</v>
      </c>
      <c r="Z67" s="55" t="str">
        <f>Z3</f>
        <v>R</v>
      </c>
      <c r="AA67" s="57" t="str">
        <f>AA3</f>
        <v>Home</v>
      </c>
      <c r="AB67" s="56"/>
      <c r="AC67" s="55" t="str">
        <f>AC3</f>
        <v>Goal</v>
      </c>
      <c r="AD67" s="55" t="str">
        <f>AD3</f>
        <v>Goal</v>
      </c>
      <c r="AE67" s="56"/>
      <c r="AF67" s="58" t="str">
        <f>AF3</f>
        <v>Away</v>
      </c>
      <c r="AG67" s="324"/>
      <c r="AH67" s="195"/>
      <c r="AI67" s="179"/>
      <c r="AJ67" s="162"/>
      <c r="AK67" s="600"/>
      <c r="AL67" s="162"/>
      <c r="AM67" s="162"/>
      <c r="AN67" s="162"/>
      <c r="AO67" s="162"/>
      <c r="AP67" s="162"/>
      <c r="AQ67" s="162"/>
      <c r="AR67" s="162"/>
      <c r="AS67" s="162"/>
      <c r="AT67" s="162"/>
      <c r="AU67" s="331"/>
      <c r="AV67" s="188"/>
      <c r="AW67" s="212"/>
      <c r="AX67" s="172"/>
      <c r="AY67" s="154"/>
      <c r="AZ67" s="155"/>
      <c r="BA67" s="176"/>
      <c r="BB67" s="16" t="str">
        <f t="shared" si="187"/>
        <v>3J</v>
      </c>
      <c r="BC67" s="16" t="s">
        <v>5</v>
      </c>
      <c r="BD67" s="16" t="str">
        <f t="shared" ca="1" si="168"/>
        <v>Austria</v>
      </c>
      <c r="BE67" s="16">
        <f t="shared" ca="1" si="188"/>
        <v>0</v>
      </c>
      <c r="BF67" s="16">
        <f t="shared" ca="1" si="189"/>
        <v>0</v>
      </c>
      <c r="BG67" s="16">
        <f t="shared" ca="1" si="169"/>
        <v>0</v>
      </c>
      <c r="BH67" s="16">
        <f t="shared" ca="1" si="170"/>
        <v>0</v>
      </c>
      <c r="BI67" s="16">
        <f t="shared" ca="1" si="171"/>
        <v>0</v>
      </c>
      <c r="BJ67" s="16">
        <f t="shared" ca="1" si="172"/>
        <v>0</v>
      </c>
      <c r="BK67" s="16">
        <f t="shared" ca="1" si="173"/>
        <v>0</v>
      </c>
      <c r="BL67" s="16">
        <f t="shared" ca="1" si="190"/>
        <v>0</v>
      </c>
      <c r="BM67" s="16">
        <f t="shared" ca="1" si="191"/>
        <v>2</v>
      </c>
      <c r="BN67" s="16">
        <f t="shared" ca="1" si="192"/>
        <v>2</v>
      </c>
      <c r="BO67" s="16" t="str">
        <f t="shared" si="174"/>
        <v>4J</v>
      </c>
      <c r="BP67" s="16"/>
      <c r="BQ67" s="16"/>
      <c r="BR67" s="16">
        <f t="shared" ca="1" si="175"/>
        <v>0</v>
      </c>
      <c r="BS67" s="16">
        <f t="shared" ca="1" si="193"/>
        <v>1</v>
      </c>
      <c r="BT67" s="16" t="str">
        <f t="shared" ca="1" si="194"/>
        <v>Pos. 1 (12)</v>
      </c>
      <c r="BU67" s="16">
        <f t="shared" ca="1" si="176"/>
        <v>0</v>
      </c>
      <c r="BV67" s="16">
        <f t="shared" ca="1" si="177"/>
        <v>1</v>
      </c>
      <c r="BW67" s="16" t="str">
        <f t="shared" ca="1" si="178"/>
        <v>Pos. 1 (12)</v>
      </c>
      <c r="BX67" s="16">
        <f t="shared" ca="1" si="179"/>
        <v>0</v>
      </c>
      <c r="BY67" s="16">
        <f t="shared" ca="1" si="180"/>
        <v>1</v>
      </c>
      <c r="BZ67" s="16" t="str">
        <f t="shared" ca="1" si="181"/>
        <v>Pos. 1 (12)</v>
      </c>
      <c r="CA67" s="16">
        <f t="shared" ca="1" si="182"/>
        <v>10</v>
      </c>
      <c r="CB67" s="16">
        <f t="shared" ca="1" si="195"/>
        <v>2</v>
      </c>
      <c r="CC67" s="16"/>
      <c r="CD67" s="16">
        <f t="shared" ca="1" si="183"/>
        <v>2</v>
      </c>
      <c r="CE67" s="16">
        <f t="shared" ca="1" si="196"/>
        <v>1</v>
      </c>
      <c r="CF67" s="16">
        <f t="shared" ca="1" si="197"/>
        <v>2</v>
      </c>
      <c r="DJ67" s="16">
        <f t="shared" ca="1" si="184"/>
        <v>1</v>
      </c>
      <c r="DK67" s="16"/>
      <c r="DL67" s="16">
        <f t="shared" ca="1" si="185"/>
        <v>1</v>
      </c>
      <c r="DM67" s="16" t="str">
        <f t="shared" ca="1" si="186"/>
        <v>1.1</v>
      </c>
      <c r="DN67" s="16" cm="1">
        <f t="array" aca="1" ref="DN67" ca="1">OFFSET(Horarios!$P$3,DJ67-1,0,DL67,1)</f>
        <v>1</v>
      </c>
      <c r="DO67" s="16"/>
      <c r="DP67" s="16">
        <v>10</v>
      </c>
      <c r="DQ67" s="16" t="str">
        <f t="shared" ca="1" si="198"/>
        <v>South Korea</v>
      </c>
    </row>
    <row r="68" spans="1:121" ht="16" customHeight="1" thickBot="1" x14ac:dyDescent="0.25">
      <c r="A68" s="16" t="s">
        <v>32</v>
      </c>
      <c r="B68" s="16" t="s">
        <v>448</v>
      </c>
      <c r="C68" s="16">
        <f>COUNTIF(Equipos!$C$2:$C$49,WORLDCUP!B68)</f>
        <v>4</v>
      </c>
      <c r="D68" s="16" t="str">
        <f t="shared" ref="D68:D73" si="217">IF(OR(AC68="",AD68=""),"Pendiente",IF(AC68&gt;AD68,"Local",IF(AC68&lt;AD68,"Visitante","Empate")))</f>
        <v>Pendiente</v>
      </c>
      <c r="E68" s="16" t="str">
        <f t="shared" ref="E68:E73" si="218">IF(D68="Pendiente","-",INDEX($BT$6:$BT$53,MATCH($AA68,$BD$6:$BD$53,0)))</f>
        <v>-</v>
      </c>
      <c r="F68" s="16" t="str">
        <f t="shared" ref="F68:F73" si="219">IF(D68="Pendiente","-",INDEX($BT$6:$BT$53,MATCH($AF68,$BD$6:$BD$53,0)))</f>
        <v>-</v>
      </c>
      <c r="G68" s="16"/>
      <c r="H68" s="16" t="str">
        <f t="shared" ref="H68:H73" si="220">IF(D68="Pendiente","-",INDEX($BZ$6:$BZ$53,MATCH($AA68,$BD$6:$BD$53,0)))</f>
        <v>-</v>
      </c>
      <c r="I68" s="16" t="str">
        <f t="shared" ref="I68:I73" si="221">IF(D68="Pendiente","-",INDEX($BZ$6:$BZ$53,MATCH($AF68,$BD$6:$BD$53,0)))</f>
        <v>-</v>
      </c>
      <c r="J68" s="16"/>
      <c r="K68" s="16" t="str">
        <f t="shared" ref="K68:K73" si="222">IF(D68="Pendiente","-",INDEX($CE$6:$CE$53,MATCH($AA68,$BD$6:$BD$53,0)))</f>
        <v>-</v>
      </c>
      <c r="L68" s="16" t="str">
        <f t="shared" ref="L68:L73" si="223">IF(D68="Pendiente","-",INDEX($CE$6:$CE$53,MATCH($AF68,$BD$6:$BD$53,0)))</f>
        <v>-</v>
      </c>
      <c r="M68" s="16"/>
      <c r="N68" s="16" t="str">
        <f t="shared" ref="N68:N73" si="224">IF(D68="Pendiente","-",INDEX($CH$6:$CH$53,MATCH($AA68,$BD$6:$BD$53,0)))</f>
        <v>-</v>
      </c>
      <c r="O68" s="16" t="str">
        <f t="shared" ref="O68:O73" si="225">IF(D68="Pendiente","-",INDEX($CH$6:$CH$53,MATCH($AF68,$BD$6:$BD$53,0)))</f>
        <v>-</v>
      </c>
      <c r="P68" s="16"/>
      <c r="Q68" s="16" t="str">
        <f t="shared" ref="Q68:Q73" si="226">IF(D68="Pendiente","-",INDEX($CN$6:$CN$53,MATCH($AA68,$BD$6:$BD$53,0)))</f>
        <v>-</v>
      </c>
      <c r="R68" s="16" t="str">
        <f t="shared" ref="R68:R73" si="227">IF(D68="Pendiente","-",INDEX($CN$6:$CN$53,MATCH($AF68,$BD$6:$BD$53,0)))</f>
        <v>-</v>
      </c>
      <c r="S68" s="16"/>
      <c r="T68" s="16" t="str">
        <f t="shared" ref="T68:T73" si="228">IF(D68="Pendiente","-",INDEX($CS$6:$CS$53,MATCH($AA68,$BD$6:$BD$53,0)))</f>
        <v>-</v>
      </c>
      <c r="U68" s="16" t="str">
        <f t="shared" ref="U68:U73" si="229">IF(D68="Pendiente","-",INDEX($CS$6:$CS$53,MATCH($AF68,$BD$6:$BD$53,0)))</f>
        <v>-</v>
      </c>
      <c r="V68" s="17"/>
      <c r="W68" s="671" t="s">
        <v>448</v>
      </c>
      <c r="X68" s="24">
        <f ca="1">Horarios!C68</f>
        <v>46189.625</v>
      </c>
      <c r="Y68" s="25">
        <f ca="1">Horarios!C68</f>
        <v>46189.625</v>
      </c>
      <c r="Z68" s="26" t="str">
        <f>$Z$4</f>
        <v>R1</v>
      </c>
      <c r="AA68" s="27" t="str">
        <f ca="1">A69</f>
        <v>France</v>
      </c>
      <c r="AB68" s="49" t="str" cm="1">
        <f t="array" aca="1" ref="AB68" ca="1">Ver_flag_local</f>
        <v>🇫🇷</v>
      </c>
      <c r="AC68" s="50"/>
      <c r="AD68" s="51"/>
      <c r="AE68" s="595" t="str" cm="1">
        <f t="array" aca="1" ref="AE68" ca="1">Ver_flag_visit</f>
        <v>🇸🇳</v>
      </c>
      <c r="AF68" s="32" t="str">
        <f ca="1">A70</f>
        <v>Senegal</v>
      </c>
      <c r="AG68" s="323">
        <f t="shared" ref="AG68:AG73" si="230">IF(NOT(OR(ISBLANK(AC68),ISBLANK(AD68))),1,0)</f>
        <v>0</v>
      </c>
      <c r="AH68" s="195">
        <v>17</v>
      </c>
      <c r="AI68" s="181"/>
      <c r="AJ68" s="59" t="str">
        <f>CONCATENATE(AJ3," ",B68)</f>
        <v>Group I</v>
      </c>
      <c r="AK68" s="60"/>
      <c r="AL68" s="60"/>
      <c r="AM68" s="60"/>
      <c r="AN68" s="60"/>
      <c r="AO68" s="60"/>
      <c r="AP68" s="60"/>
      <c r="AQ68" s="60"/>
      <c r="AR68" s="60"/>
      <c r="AS68" s="60"/>
      <c r="AT68" s="61"/>
      <c r="AU68" s="331"/>
      <c r="AV68" s="286" t="str">
        <f ca="1">IF(AU69&gt;0,$AV$3,"")</f>
        <v/>
      </c>
      <c r="AW68" s="167"/>
      <c r="AX68" s="167"/>
      <c r="AY68" s="154"/>
      <c r="AZ68" s="155"/>
      <c r="BA68" s="176"/>
      <c r="BB68" s="16" t="str">
        <f t="shared" si="187"/>
        <v>3K</v>
      </c>
      <c r="BC68" s="16" t="s">
        <v>449</v>
      </c>
      <c r="BD68" s="16" t="str">
        <f t="shared" ca="1" si="168"/>
        <v>Uzbekistan</v>
      </c>
      <c r="BE68" s="16">
        <f t="shared" ca="1" si="188"/>
        <v>0</v>
      </c>
      <c r="BF68" s="16">
        <f t="shared" ca="1" si="189"/>
        <v>0</v>
      </c>
      <c r="BG68" s="16">
        <f t="shared" ca="1" si="169"/>
        <v>0</v>
      </c>
      <c r="BH68" s="16">
        <f t="shared" ca="1" si="170"/>
        <v>0</v>
      </c>
      <c r="BI68" s="16">
        <f t="shared" ca="1" si="171"/>
        <v>0</v>
      </c>
      <c r="BJ68" s="16">
        <f t="shared" ca="1" si="172"/>
        <v>0</v>
      </c>
      <c r="BK68" s="16">
        <f t="shared" ca="1" si="173"/>
        <v>0</v>
      </c>
      <c r="BL68" s="16">
        <f t="shared" ca="1" si="190"/>
        <v>0</v>
      </c>
      <c r="BM68" s="16">
        <f t="shared" ca="1" si="191"/>
        <v>12</v>
      </c>
      <c r="BN68" s="16">
        <f t="shared" ca="1" si="192"/>
        <v>12</v>
      </c>
      <c r="BO68" s="16" t="str">
        <f t="shared" si="174"/>
        <v>4K</v>
      </c>
      <c r="BP68" s="16"/>
      <c r="BQ68" s="16"/>
      <c r="BR68" s="16">
        <f t="shared" ca="1" si="175"/>
        <v>0</v>
      </c>
      <c r="BS68" s="16">
        <f t="shared" ca="1" si="193"/>
        <v>1</v>
      </c>
      <c r="BT68" s="16" t="str">
        <f t="shared" ca="1" si="194"/>
        <v>Pos. 1 (12)</v>
      </c>
      <c r="BU68" s="16">
        <f t="shared" ca="1" si="176"/>
        <v>0</v>
      </c>
      <c r="BV68" s="16">
        <f t="shared" ca="1" si="177"/>
        <v>1</v>
      </c>
      <c r="BW68" s="16" t="str">
        <f t="shared" ca="1" si="178"/>
        <v>Pos. 1 (12)</v>
      </c>
      <c r="BX68" s="16">
        <f t="shared" ca="1" si="179"/>
        <v>0</v>
      </c>
      <c r="BY68" s="16">
        <f t="shared" ca="1" si="180"/>
        <v>1</v>
      </c>
      <c r="BZ68" s="16" t="str">
        <f t="shared" ca="1" si="181"/>
        <v>Pos. 1 (12)</v>
      </c>
      <c r="CA68" s="16">
        <f t="shared" ca="1" si="182"/>
        <v>0</v>
      </c>
      <c r="CB68" s="16">
        <f t="shared" ca="1" si="195"/>
        <v>12</v>
      </c>
      <c r="CC68" s="16"/>
      <c r="CD68" s="16">
        <f t="shared" ca="1" si="183"/>
        <v>12</v>
      </c>
      <c r="CE68" s="16">
        <f t="shared" ca="1" si="196"/>
        <v>11</v>
      </c>
      <c r="CF68" s="16">
        <f t="shared" ca="1" si="197"/>
        <v>12</v>
      </c>
      <c r="DJ68" s="16">
        <f t="shared" ca="1" si="184"/>
        <v>1</v>
      </c>
      <c r="DK68" s="16"/>
      <c r="DL68" s="16">
        <f t="shared" ca="1" si="185"/>
        <v>1</v>
      </c>
      <c r="DM68" s="16" t="str">
        <f t="shared" ca="1" si="186"/>
        <v>1.1</v>
      </c>
      <c r="DN68" s="16" cm="1">
        <f t="array" aca="1" ref="DN68" ca="1">OFFSET(Horarios!$P$3,DJ68-1,0,DL68,1)</f>
        <v>1</v>
      </c>
      <c r="DO68" s="16"/>
      <c r="DP68" s="16">
        <v>11</v>
      </c>
      <c r="DQ68" s="16" t="str">
        <f t="shared" ca="1" si="198"/>
        <v>Sweden</v>
      </c>
    </row>
    <row r="69" spans="1:121" ht="16" customHeight="1" x14ac:dyDescent="0.2">
      <c r="A69" s="16" t="str">
        <f ca="1">+Equipos!B34</f>
        <v>France</v>
      </c>
      <c r="B69" s="16"/>
      <c r="C69" s="16"/>
      <c r="D69" s="16" t="str">
        <f t="shared" si="217"/>
        <v>Pendiente</v>
      </c>
      <c r="E69" s="16" t="str">
        <f t="shared" si="218"/>
        <v>-</v>
      </c>
      <c r="F69" s="16" t="str">
        <f t="shared" si="219"/>
        <v>-</v>
      </c>
      <c r="G69" s="16"/>
      <c r="H69" s="16" t="str">
        <f t="shared" si="220"/>
        <v>-</v>
      </c>
      <c r="I69" s="16" t="str">
        <f t="shared" si="221"/>
        <v>-</v>
      </c>
      <c r="J69" s="16"/>
      <c r="K69" s="16" t="str">
        <f t="shared" si="222"/>
        <v>-</v>
      </c>
      <c r="L69" s="16" t="str">
        <f t="shared" si="223"/>
        <v>-</v>
      </c>
      <c r="M69" s="16"/>
      <c r="N69" s="16" t="str">
        <f t="shared" si="224"/>
        <v>-</v>
      </c>
      <c r="O69" s="16" t="str">
        <f t="shared" si="225"/>
        <v>-</v>
      </c>
      <c r="P69" s="16"/>
      <c r="Q69" s="16" t="str">
        <f t="shared" si="226"/>
        <v>-</v>
      </c>
      <c r="R69" s="16" t="str">
        <f t="shared" si="227"/>
        <v>-</v>
      </c>
      <c r="S69" s="16"/>
      <c r="T69" s="16" t="str">
        <f t="shared" si="228"/>
        <v>-</v>
      </c>
      <c r="U69" s="16" t="str">
        <f t="shared" si="229"/>
        <v>-</v>
      </c>
      <c r="V69" s="17"/>
      <c r="W69" s="671"/>
      <c r="X69" s="24">
        <f ca="1">Horarios!C69</f>
        <v>46189.75</v>
      </c>
      <c r="Y69" s="25">
        <f ca="1">Horarios!C69</f>
        <v>46189.75</v>
      </c>
      <c r="Z69" s="26" t="str">
        <f>$Z$4</f>
        <v>R1</v>
      </c>
      <c r="AA69" s="27" t="str">
        <f ca="1">A71</f>
        <v>Iraq</v>
      </c>
      <c r="AB69" s="49" t="str" cm="1">
        <f t="array" aca="1" ref="AB69" ca="1">Ver_flag_local</f>
        <v>🇮🇶</v>
      </c>
      <c r="AC69" s="50"/>
      <c r="AD69" s="51"/>
      <c r="AE69" s="595" t="str" cm="1">
        <f t="array" aca="1" ref="AE69" ca="1">Ver_flag_visit</f>
        <v>🇳🇴</v>
      </c>
      <c r="AF69" s="32" t="str">
        <f ca="1">A72</f>
        <v>Norway</v>
      </c>
      <c r="AG69" s="323">
        <f t="shared" si="230"/>
        <v>0</v>
      </c>
      <c r="AH69" s="195">
        <v>18</v>
      </c>
      <c r="AI69" s="181"/>
      <c r="AJ69" s="62" t="str">
        <f>AJ5</f>
        <v>Pos</v>
      </c>
      <c r="AK69" s="63"/>
      <c r="AL69" s="64" t="str">
        <f t="shared" ref="AL69:AT69" si="231">AL5</f>
        <v>Nation</v>
      </c>
      <c r="AM69" s="63" t="str">
        <f t="shared" si="231"/>
        <v>Pts</v>
      </c>
      <c r="AN69" s="63" t="str">
        <f t="shared" si="231"/>
        <v>P</v>
      </c>
      <c r="AO69" s="63" t="str">
        <f t="shared" si="231"/>
        <v>W</v>
      </c>
      <c r="AP69" s="63" t="str">
        <f t="shared" si="231"/>
        <v>D</v>
      </c>
      <c r="AQ69" s="63" t="str">
        <f t="shared" si="231"/>
        <v>L</v>
      </c>
      <c r="AR69" s="63" t="str">
        <f t="shared" si="231"/>
        <v>F</v>
      </c>
      <c r="AS69" s="63" t="str">
        <f t="shared" si="231"/>
        <v>A</v>
      </c>
      <c r="AT69" s="65" t="str">
        <f t="shared" si="231"/>
        <v>GD</v>
      </c>
      <c r="AU69" s="331">
        <f t="shared" ref="AU69" ca="1" si="232">COUNTIF(AU70:AU73,"&gt;1")</f>
        <v>0</v>
      </c>
      <c r="AV69" s="192"/>
      <c r="AW69" s="167"/>
      <c r="AX69" s="167"/>
      <c r="AY69" s="207" t="str">
        <f>AL69</f>
        <v>Nation</v>
      </c>
      <c r="AZ69" s="208" t="str">
        <f>+Idiomas!$D$67</f>
        <v>Deducted Points</v>
      </c>
      <c r="BA69" s="176"/>
      <c r="BB69" s="16" t="str">
        <f t="shared" si="187"/>
        <v>3L</v>
      </c>
      <c r="BC69" s="16" t="s">
        <v>247</v>
      </c>
      <c r="BD69" s="16" t="str">
        <f t="shared" ca="1" si="168"/>
        <v>Ghana</v>
      </c>
      <c r="BE69" s="16">
        <f t="shared" ca="1" si="188"/>
        <v>0</v>
      </c>
      <c r="BF69" s="16">
        <f t="shared" ca="1" si="189"/>
        <v>0</v>
      </c>
      <c r="BG69" s="16">
        <f t="shared" ca="1" si="169"/>
        <v>0</v>
      </c>
      <c r="BH69" s="16">
        <f t="shared" ca="1" si="170"/>
        <v>0</v>
      </c>
      <c r="BI69" s="16">
        <f t="shared" ca="1" si="171"/>
        <v>0</v>
      </c>
      <c r="BJ69" s="16">
        <f t="shared" ca="1" si="172"/>
        <v>0</v>
      </c>
      <c r="BK69" s="16">
        <f t="shared" ca="1" si="173"/>
        <v>0</v>
      </c>
      <c r="BL69" s="16">
        <f t="shared" ca="1" si="190"/>
        <v>0</v>
      </c>
      <c r="BM69" s="16">
        <f t="shared" ca="1" si="191"/>
        <v>3</v>
      </c>
      <c r="BN69" s="16">
        <f t="shared" ca="1" si="192"/>
        <v>3</v>
      </c>
      <c r="BO69" s="16" t="str">
        <f t="shared" si="174"/>
        <v>4L</v>
      </c>
      <c r="BP69" s="16"/>
      <c r="BQ69" s="16"/>
      <c r="BR69" s="16">
        <f t="shared" ca="1" si="175"/>
        <v>0</v>
      </c>
      <c r="BS69" s="16">
        <f t="shared" ca="1" si="193"/>
        <v>1</v>
      </c>
      <c r="BT69" s="16" t="str">
        <f t="shared" ca="1" si="194"/>
        <v>Pos. 1 (12)</v>
      </c>
      <c r="BU69" s="16">
        <f t="shared" ca="1" si="176"/>
        <v>0</v>
      </c>
      <c r="BV69" s="16">
        <f t="shared" ca="1" si="177"/>
        <v>1</v>
      </c>
      <c r="BW69" s="16" t="str">
        <f t="shared" ca="1" si="178"/>
        <v>Pos. 1 (12)</v>
      </c>
      <c r="BX69" s="16">
        <f t="shared" ca="1" si="179"/>
        <v>0</v>
      </c>
      <c r="BY69" s="16">
        <f t="shared" ca="1" si="180"/>
        <v>1</v>
      </c>
      <c r="BZ69" s="16" t="str">
        <f t="shared" ca="1" si="181"/>
        <v>Pos. 1 (12)</v>
      </c>
      <c r="CA69" s="16">
        <f t="shared" ca="1" si="182"/>
        <v>9</v>
      </c>
      <c r="CB69" s="16">
        <f ca="1">BY69+COUNTIFS(BZ$58:BZ$69,BZ69,CA$58:CA$69,"&gt;"&amp;CA69)</f>
        <v>3</v>
      </c>
      <c r="CC69" s="16"/>
      <c r="CD69" s="16">
        <f t="shared" ca="1" si="183"/>
        <v>3</v>
      </c>
      <c r="CE69" s="16">
        <f t="shared" ca="1" si="196"/>
        <v>2</v>
      </c>
      <c r="CF69" s="16">
        <f t="shared" ca="1" si="197"/>
        <v>3</v>
      </c>
      <c r="DJ69" s="16">
        <f t="shared" ca="1" si="184"/>
        <v>1</v>
      </c>
      <c r="DK69" s="16"/>
      <c r="DL69" s="16">
        <f t="shared" ca="1" si="185"/>
        <v>1</v>
      </c>
      <c r="DM69" s="16" t="str">
        <f t="shared" ca="1" si="186"/>
        <v>1.1</v>
      </c>
      <c r="DN69" s="16" cm="1">
        <f t="array" aca="1" ref="DN69" ca="1">OFFSET(Horarios!$P$3,DJ69-1,0,DL69,1)</f>
        <v>1</v>
      </c>
      <c r="DO69" s="16"/>
      <c r="DP69" s="16">
        <v>12</v>
      </c>
      <c r="DQ69" s="16" t="str">
        <f t="shared" ca="1" si="198"/>
        <v>Uzbekistan</v>
      </c>
    </row>
    <row r="70" spans="1:121" ht="16" customHeight="1" x14ac:dyDescent="0.2">
      <c r="A70" s="16" t="str">
        <f ca="1">+Equipos!B35</f>
        <v>Senegal</v>
      </c>
      <c r="B70" s="16"/>
      <c r="C70" s="16"/>
      <c r="D70" s="16" t="str">
        <f t="shared" si="217"/>
        <v>Pendiente</v>
      </c>
      <c r="E70" s="16" t="str">
        <f t="shared" si="218"/>
        <v>-</v>
      </c>
      <c r="F70" s="16" t="str">
        <f t="shared" si="219"/>
        <v>-</v>
      </c>
      <c r="G70" s="16"/>
      <c r="H70" s="16" t="str">
        <f t="shared" si="220"/>
        <v>-</v>
      </c>
      <c r="I70" s="16" t="str">
        <f t="shared" si="221"/>
        <v>-</v>
      </c>
      <c r="J70" s="16"/>
      <c r="K70" s="16" t="str">
        <f t="shared" si="222"/>
        <v>-</v>
      </c>
      <c r="L70" s="16" t="str">
        <f t="shared" si="223"/>
        <v>-</v>
      </c>
      <c r="M70" s="16"/>
      <c r="N70" s="16" t="str">
        <f t="shared" si="224"/>
        <v>-</v>
      </c>
      <c r="O70" s="16" t="str">
        <f t="shared" si="225"/>
        <v>-</v>
      </c>
      <c r="P70" s="16"/>
      <c r="Q70" s="16" t="str">
        <f t="shared" si="226"/>
        <v>-</v>
      </c>
      <c r="R70" s="16" t="str">
        <f t="shared" si="227"/>
        <v>-</v>
      </c>
      <c r="S70" s="16"/>
      <c r="T70" s="16" t="str">
        <f t="shared" si="228"/>
        <v>-</v>
      </c>
      <c r="U70" s="16" t="str">
        <f t="shared" si="229"/>
        <v>-</v>
      </c>
      <c r="V70" s="17"/>
      <c r="W70" s="671"/>
      <c r="X70" s="24">
        <f ca="1">Horarios!C70</f>
        <v>46195.708333333336</v>
      </c>
      <c r="Y70" s="25">
        <f ca="1">Horarios!C70</f>
        <v>46195.708333333336</v>
      </c>
      <c r="Z70" s="26" t="str">
        <f>$Z$6</f>
        <v>R2</v>
      </c>
      <c r="AA70" s="27" t="str">
        <f ca="1">A69</f>
        <v>France</v>
      </c>
      <c r="AB70" s="49" t="str" cm="1">
        <f t="array" aca="1" ref="AB70" ca="1">Ver_flag_local</f>
        <v>🇫🇷</v>
      </c>
      <c r="AC70" s="50"/>
      <c r="AD70" s="51"/>
      <c r="AE70" s="595" t="str" cm="1">
        <f t="array" aca="1" ref="AE70" ca="1">Ver_flag_visit</f>
        <v>🇮🇶</v>
      </c>
      <c r="AF70" s="32" t="str">
        <f ca="1">A71</f>
        <v>Iraq</v>
      </c>
      <c r="AG70" s="323">
        <f t="shared" si="230"/>
        <v>0</v>
      </c>
      <c r="AH70" s="195">
        <v>42</v>
      </c>
      <c r="AI70" s="181" t="str">
        <f>AJ70&amp;$B$68</f>
        <v>1I</v>
      </c>
      <c r="AJ70" s="40">
        <v>1</v>
      </c>
      <c r="AK70" s="601" t="str" cm="1">
        <f t="array" aca="1" ref="AK70" ca="1">Ver_flag_visit</f>
        <v>🇫🇷</v>
      </c>
      <c r="AL70" s="34" t="str">
        <f ca="1">IFERROR(INDEX($BD$6:$BD$53,MATCH(AI70,$BN$6:$BN$53,0)),"")</f>
        <v>France</v>
      </c>
      <c r="AM70" s="35">
        <f t="shared" ref="AM70:AT73" ca="1" si="233">INDEX($BE$6:$BN$53,MATCH($AL70,$BD$6:$BD$53,0),MATCH(AM$5,$BE$5:$BN$5,0))</f>
        <v>0</v>
      </c>
      <c r="AN70" s="36">
        <f t="shared" ca="1" si="233"/>
        <v>0</v>
      </c>
      <c r="AO70" s="36">
        <f t="shared" ca="1" si="233"/>
        <v>0</v>
      </c>
      <c r="AP70" s="36">
        <f t="shared" ca="1" si="233"/>
        <v>0</v>
      </c>
      <c r="AQ70" s="36">
        <f t="shared" ca="1" si="233"/>
        <v>0</v>
      </c>
      <c r="AR70" s="36">
        <f t="shared" ca="1" si="233"/>
        <v>0</v>
      </c>
      <c r="AS70" s="36">
        <f t="shared" ca="1" si="233"/>
        <v>0</v>
      </c>
      <c r="AT70" s="41">
        <f t="shared" ca="1" si="233"/>
        <v>0</v>
      </c>
      <c r="AU70" s="330">
        <f ca="1">INDEX($DL$6:$DL$53,MATCH(AI70,$DP$6:$DP$53,0))</f>
        <v>1</v>
      </c>
      <c r="AV70" s="182" t="str">
        <f ca="1">INDEX($BD$6:$BD$53,MATCH(AI70,$BM$6:$BM$53,0))</f>
        <v>France</v>
      </c>
      <c r="AW70" s="210"/>
      <c r="AX70" s="171"/>
      <c r="AY70" s="201" t="str">
        <f ca="1">+A69</f>
        <v>France</v>
      </c>
      <c r="AZ70" s="202"/>
      <c r="BA70" s="176"/>
      <c r="DN70" s="16"/>
    </row>
    <row r="71" spans="1:121" ht="16" customHeight="1" x14ac:dyDescent="0.2">
      <c r="A71" s="16" t="str">
        <f ca="1">+Equipos!B36</f>
        <v>Iraq</v>
      </c>
      <c r="B71" s="16"/>
      <c r="C71" s="16"/>
      <c r="D71" s="16" t="str">
        <f t="shared" si="217"/>
        <v>Pendiente</v>
      </c>
      <c r="E71" s="16" t="str">
        <f t="shared" si="218"/>
        <v>-</v>
      </c>
      <c r="F71" s="16" t="str">
        <f t="shared" si="219"/>
        <v>-</v>
      </c>
      <c r="G71" s="16"/>
      <c r="H71" s="16" t="str">
        <f t="shared" si="220"/>
        <v>-</v>
      </c>
      <c r="I71" s="16" t="str">
        <f t="shared" si="221"/>
        <v>-</v>
      </c>
      <c r="J71" s="16"/>
      <c r="K71" s="16" t="str">
        <f t="shared" si="222"/>
        <v>-</v>
      </c>
      <c r="L71" s="16" t="str">
        <f t="shared" si="223"/>
        <v>-</v>
      </c>
      <c r="M71" s="16"/>
      <c r="N71" s="16" t="str">
        <f t="shared" si="224"/>
        <v>-</v>
      </c>
      <c r="O71" s="16" t="str">
        <f t="shared" si="225"/>
        <v>-</v>
      </c>
      <c r="P71" s="16"/>
      <c r="Q71" s="16" t="str">
        <f t="shared" si="226"/>
        <v>-</v>
      </c>
      <c r="R71" s="16" t="str">
        <f t="shared" si="227"/>
        <v>-</v>
      </c>
      <c r="S71" s="16"/>
      <c r="T71" s="16" t="str">
        <f t="shared" si="228"/>
        <v>-</v>
      </c>
      <c r="U71" s="16" t="str">
        <f t="shared" si="229"/>
        <v>-</v>
      </c>
      <c r="V71" s="17"/>
      <c r="W71" s="671"/>
      <c r="X71" s="24">
        <f ca="1">Horarios!C71</f>
        <v>46195.833333333336</v>
      </c>
      <c r="Y71" s="25">
        <f ca="1">Horarios!C71</f>
        <v>46195.833333333336</v>
      </c>
      <c r="Z71" s="26" t="str">
        <f>$Z$6</f>
        <v>R2</v>
      </c>
      <c r="AA71" s="27" t="str">
        <f ca="1">A72</f>
        <v>Norway</v>
      </c>
      <c r="AB71" s="49" t="str" cm="1">
        <f t="array" aca="1" ref="AB71" ca="1">Ver_flag_local</f>
        <v>🇳🇴</v>
      </c>
      <c r="AC71" s="50"/>
      <c r="AD71" s="51"/>
      <c r="AE71" s="595" t="str" cm="1">
        <f t="array" aca="1" ref="AE71" ca="1">Ver_flag_visit</f>
        <v>🇸🇳</v>
      </c>
      <c r="AF71" s="32" t="str">
        <f ca="1">A70</f>
        <v>Senegal</v>
      </c>
      <c r="AG71" s="323">
        <f t="shared" si="230"/>
        <v>0</v>
      </c>
      <c r="AH71" s="195">
        <v>41</v>
      </c>
      <c r="AI71" s="181" t="str">
        <f t="shared" ref="AI71:AI73" si="234">AJ71&amp;$B$68</f>
        <v>2I</v>
      </c>
      <c r="AJ71" s="42">
        <v>2</v>
      </c>
      <c r="AK71" s="602" t="str" cm="1">
        <f t="array" aca="1" ref="AK71" ca="1">Ver_flag_visit</f>
        <v>🇸🇳</v>
      </c>
      <c r="AL71" s="37" t="str">
        <f ca="1">IFERROR(INDEX($BD$6:$BD$53,MATCH(AI71,$BN$6:$BN$53,0)),"")</f>
        <v>Senegal</v>
      </c>
      <c r="AM71" s="38">
        <f t="shared" ca="1" si="233"/>
        <v>0</v>
      </c>
      <c r="AN71" s="39">
        <f t="shared" ca="1" si="233"/>
        <v>0</v>
      </c>
      <c r="AO71" s="39">
        <f t="shared" ca="1" si="233"/>
        <v>0</v>
      </c>
      <c r="AP71" s="39">
        <f t="shared" ca="1" si="233"/>
        <v>0</v>
      </c>
      <c r="AQ71" s="39">
        <f t="shared" ca="1" si="233"/>
        <v>0</v>
      </c>
      <c r="AR71" s="39">
        <f t="shared" ca="1" si="233"/>
        <v>0</v>
      </c>
      <c r="AS71" s="39">
        <f t="shared" ca="1" si="233"/>
        <v>0</v>
      </c>
      <c r="AT71" s="43">
        <f t="shared" ca="1" si="233"/>
        <v>0</v>
      </c>
      <c r="AU71" s="330">
        <f ca="1">INDEX($DL$6:$DL$53,MATCH(AI71,$DP$6:$DP$53,0))</f>
        <v>1</v>
      </c>
      <c r="AV71" s="182" t="str">
        <f ca="1">INDEX($BD$6:$BD$53,MATCH(AI71,$BM$6:$BM$53,0))</f>
        <v>Senegal</v>
      </c>
      <c r="AW71" s="210"/>
      <c r="AX71" s="171"/>
      <c r="AY71" s="203" t="str">
        <f ca="1">+A70</f>
        <v>Senegal</v>
      </c>
      <c r="AZ71" s="204"/>
      <c r="BA71" s="176"/>
      <c r="DN71" s="16"/>
    </row>
    <row r="72" spans="1:121" ht="16" customHeight="1" x14ac:dyDescent="0.2">
      <c r="A72" s="16" t="str">
        <f ca="1">+Equipos!B37</f>
        <v>Norway</v>
      </c>
      <c r="B72" s="16"/>
      <c r="C72" s="16"/>
      <c r="D72" s="16" t="str">
        <f t="shared" si="217"/>
        <v>Pendiente</v>
      </c>
      <c r="E72" s="16" t="str">
        <f t="shared" si="218"/>
        <v>-</v>
      </c>
      <c r="F72" s="16" t="str">
        <f t="shared" si="219"/>
        <v>-</v>
      </c>
      <c r="G72" s="16"/>
      <c r="H72" s="16" t="str">
        <f t="shared" si="220"/>
        <v>-</v>
      </c>
      <c r="I72" s="16" t="str">
        <f t="shared" si="221"/>
        <v>-</v>
      </c>
      <c r="J72" s="16"/>
      <c r="K72" s="16" t="str">
        <f t="shared" si="222"/>
        <v>-</v>
      </c>
      <c r="L72" s="16" t="str">
        <f t="shared" si="223"/>
        <v>-</v>
      </c>
      <c r="M72" s="16"/>
      <c r="N72" s="16" t="str">
        <f t="shared" si="224"/>
        <v>-</v>
      </c>
      <c r="O72" s="16" t="str">
        <f t="shared" si="225"/>
        <v>-</v>
      </c>
      <c r="P72" s="16"/>
      <c r="Q72" s="16" t="str">
        <f t="shared" si="226"/>
        <v>-</v>
      </c>
      <c r="R72" s="16" t="str">
        <f t="shared" si="227"/>
        <v>-</v>
      </c>
      <c r="S72" s="16"/>
      <c r="T72" s="16" t="str">
        <f t="shared" si="228"/>
        <v>-</v>
      </c>
      <c r="U72" s="16" t="str">
        <f t="shared" si="229"/>
        <v>-</v>
      </c>
      <c r="V72" s="17"/>
      <c r="W72" s="671"/>
      <c r="X72" s="24">
        <f ca="1">Horarios!C72</f>
        <v>46199.625</v>
      </c>
      <c r="Y72" s="25">
        <f ca="1">Horarios!C72</f>
        <v>46199.625</v>
      </c>
      <c r="Z72" s="26" t="str">
        <f>$Z$8</f>
        <v>R3</v>
      </c>
      <c r="AA72" s="27" t="str">
        <f ca="1">A72</f>
        <v>Norway</v>
      </c>
      <c r="AB72" s="49" t="str" cm="1">
        <f t="array" aca="1" ref="AB72" ca="1">Ver_flag_local</f>
        <v>🇳🇴</v>
      </c>
      <c r="AC72" s="50"/>
      <c r="AD72" s="51"/>
      <c r="AE72" s="595" t="str" cm="1">
        <f t="array" aca="1" ref="AE72" ca="1">Ver_flag_visit</f>
        <v>🇫🇷</v>
      </c>
      <c r="AF72" s="32" t="str">
        <f ca="1">A69</f>
        <v>France</v>
      </c>
      <c r="AG72" s="323">
        <f t="shared" si="230"/>
        <v>0</v>
      </c>
      <c r="AH72" s="195">
        <v>61</v>
      </c>
      <c r="AI72" s="181" t="str">
        <f t="shared" si="234"/>
        <v>3I</v>
      </c>
      <c r="AJ72" s="42">
        <v>3</v>
      </c>
      <c r="AK72" s="602" t="str" cm="1">
        <f t="array" aca="1" ref="AK72" ca="1">Ver_flag_visit</f>
        <v>🇮🇶</v>
      </c>
      <c r="AL72" s="37" t="str">
        <f ca="1">IFERROR(INDEX($BD$6:$BD$53,MATCH(AI72,$BN$6:$BN$53,0)),"")</f>
        <v>Iraq</v>
      </c>
      <c r="AM72" s="38">
        <f t="shared" ca="1" si="233"/>
        <v>0</v>
      </c>
      <c r="AN72" s="39">
        <f t="shared" ca="1" si="233"/>
        <v>0</v>
      </c>
      <c r="AO72" s="39">
        <f t="shared" ca="1" si="233"/>
        <v>0</v>
      </c>
      <c r="AP72" s="39">
        <f t="shared" ca="1" si="233"/>
        <v>0</v>
      </c>
      <c r="AQ72" s="39">
        <f t="shared" ca="1" si="233"/>
        <v>0</v>
      </c>
      <c r="AR72" s="39">
        <f t="shared" ca="1" si="233"/>
        <v>0</v>
      </c>
      <c r="AS72" s="39">
        <f t="shared" ca="1" si="233"/>
        <v>0</v>
      </c>
      <c r="AT72" s="43">
        <f t="shared" ca="1" si="233"/>
        <v>0</v>
      </c>
      <c r="AU72" s="330">
        <f ca="1">INDEX($DL$6:$DL$53,MATCH(AI72,$DP$6:$DP$53,0))</f>
        <v>1</v>
      </c>
      <c r="AV72" s="182" t="str">
        <f ca="1">INDEX($BD$6:$BD$53,MATCH(AI72,$BM$6:$BM$53,0))</f>
        <v>Iraq</v>
      </c>
      <c r="AW72" s="210"/>
      <c r="AX72" s="171"/>
      <c r="AY72" s="201" t="str">
        <f ca="1">+A71</f>
        <v>Iraq</v>
      </c>
      <c r="AZ72" s="202"/>
      <c r="BA72" s="176"/>
      <c r="DN72" s="16"/>
    </row>
    <row r="73" spans="1:121" ht="16" customHeight="1" thickBot="1" x14ac:dyDescent="0.25">
      <c r="A73" s="16"/>
      <c r="B73" s="16"/>
      <c r="C73" s="16"/>
      <c r="D73" s="16" t="str">
        <f t="shared" si="217"/>
        <v>Pendiente</v>
      </c>
      <c r="E73" s="16" t="str">
        <f t="shared" si="218"/>
        <v>-</v>
      </c>
      <c r="F73" s="16" t="str">
        <f t="shared" si="219"/>
        <v>-</v>
      </c>
      <c r="G73" s="16"/>
      <c r="H73" s="16" t="str">
        <f t="shared" si="220"/>
        <v>-</v>
      </c>
      <c r="I73" s="16" t="str">
        <f t="shared" si="221"/>
        <v>-</v>
      </c>
      <c r="J73" s="16"/>
      <c r="K73" s="16" t="str">
        <f t="shared" si="222"/>
        <v>-</v>
      </c>
      <c r="L73" s="16" t="str">
        <f t="shared" si="223"/>
        <v>-</v>
      </c>
      <c r="M73" s="16"/>
      <c r="N73" s="16" t="str">
        <f t="shared" si="224"/>
        <v>-</v>
      </c>
      <c r="O73" s="16" t="str">
        <f t="shared" si="225"/>
        <v>-</v>
      </c>
      <c r="P73" s="16"/>
      <c r="Q73" s="16" t="str">
        <f t="shared" si="226"/>
        <v>-</v>
      </c>
      <c r="R73" s="16" t="str">
        <f t="shared" si="227"/>
        <v>-</v>
      </c>
      <c r="S73" s="16"/>
      <c r="T73" s="16" t="str">
        <f t="shared" si="228"/>
        <v>-</v>
      </c>
      <c r="U73" s="16" t="str">
        <f t="shared" si="229"/>
        <v>-</v>
      </c>
      <c r="V73" s="17"/>
      <c r="W73" s="672"/>
      <c r="X73" s="28">
        <f ca="1">Horarios!C73</f>
        <v>46199.625</v>
      </c>
      <c r="Y73" s="29">
        <f ca="1">Horarios!C73</f>
        <v>46199.625</v>
      </c>
      <c r="Z73" s="30" t="str">
        <f>$Z$8</f>
        <v>R3</v>
      </c>
      <c r="AA73" s="31" t="str">
        <f ca="1">A70</f>
        <v>Senegal</v>
      </c>
      <c r="AB73" s="52" t="str" cm="1">
        <f t="array" aca="1" ref="AB73" ca="1">Ver_flag_local</f>
        <v>🇸🇳</v>
      </c>
      <c r="AC73" s="53"/>
      <c r="AD73" s="54"/>
      <c r="AE73" s="596" t="str" cm="1">
        <f t="array" aca="1" ref="AE73" ca="1">Ver_flag_visit</f>
        <v>🇮🇶</v>
      </c>
      <c r="AF73" s="33" t="str">
        <f ca="1">A71</f>
        <v>Iraq</v>
      </c>
      <c r="AG73" s="323">
        <f t="shared" si="230"/>
        <v>0</v>
      </c>
      <c r="AH73" s="195">
        <v>62</v>
      </c>
      <c r="AI73" s="181" t="str">
        <f t="shared" si="234"/>
        <v>4I</v>
      </c>
      <c r="AJ73" s="44">
        <v>4</v>
      </c>
      <c r="AK73" s="604" t="str" cm="1">
        <f t="array" aca="1" ref="AK73" ca="1">Ver_flag_visit</f>
        <v>🇳🇴</v>
      </c>
      <c r="AL73" s="45" t="str">
        <f ca="1">IFERROR(INDEX($BD$6:$BD$53,MATCH(AI73,$BN$6:$BN$53,0)),"")</f>
        <v>Norway</v>
      </c>
      <c r="AM73" s="46">
        <f t="shared" ca="1" si="233"/>
        <v>0</v>
      </c>
      <c r="AN73" s="47">
        <f t="shared" ca="1" si="233"/>
        <v>0</v>
      </c>
      <c r="AO73" s="47">
        <f t="shared" ca="1" si="233"/>
        <v>0</v>
      </c>
      <c r="AP73" s="47">
        <f t="shared" ca="1" si="233"/>
        <v>0</v>
      </c>
      <c r="AQ73" s="47">
        <f t="shared" ca="1" si="233"/>
        <v>0</v>
      </c>
      <c r="AR73" s="47">
        <f t="shared" ca="1" si="233"/>
        <v>0</v>
      </c>
      <c r="AS73" s="47">
        <f t="shared" ca="1" si="233"/>
        <v>0</v>
      </c>
      <c r="AT73" s="48">
        <f t="shared" ca="1" si="233"/>
        <v>0</v>
      </c>
      <c r="AU73" s="330">
        <f ca="1">INDEX($DL$6:$DL$53,MATCH(AI73,$DP$6:$DP$53,0))</f>
        <v>1</v>
      </c>
      <c r="AV73" s="182" t="str">
        <f ca="1">INDEX($BD$6:$BD$53,MATCH(AI73,$BM$6:$BM$53,0))</f>
        <v>Norway</v>
      </c>
      <c r="AW73" s="210"/>
      <c r="AX73" s="171"/>
      <c r="AY73" s="205" t="str">
        <f ca="1">+A72</f>
        <v>Norway</v>
      </c>
      <c r="AZ73" s="206"/>
      <c r="BA73" s="176"/>
      <c r="DN73" s="16"/>
    </row>
    <row r="74" spans="1:121" ht="16" customHeight="1" thickBot="1" x14ac:dyDescent="0.25">
      <c r="A74" s="16"/>
      <c r="B74" s="16"/>
      <c r="C74" s="16"/>
      <c r="D74" s="16"/>
      <c r="E74" s="16"/>
      <c r="F74" s="16"/>
      <c r="G74" s="16"/>
      <c r="H74" s="16"/>
      <c r="I74" s="16"/>
      <c r="J74" s="16"/>
      <c r="K74" s="16"/>
      <c r="L74" s="16"/>
      <c r="M74" s="16"/>
      <c r="N74" s="16"/>
      <c r="O74" s="16"/>
      <c r="P74" s="16"/>
      <c r="Q74" s="16"/>
      <c r="R74" s="16"/>
      <c r="S74" s="16"/>
      <c r="T74" s="16"/>
      <c r="U74" s="16"/>
      <c r="V74" s="17"/>
      <c r="W74" s="154"/>
      <c r="X74" s="155"/>
      <c r="Y74" s="154"/>
      <c r="Z74" s="156"/>
      <c r="AA74" s="157"/>
      <c r="AB74" s="158"/>
      <c r="AC74" s="151"/>
      <c r="AD74" s="151"/>
      <c r="AE74" s="158"/>
      <c r="AF74" s="159"/>
      <c r="AG74" s="325"/>
      <c r="AH74" s="195"/>
      <c r="AI74" s="180"/>
      <c r="AJ74" s="160"/>
      <c r="AK74" s="161"/>
      <c r="AL74" s="162"/>
      <c r="AM74" s="163"/>
      <c r="AN74" s="160"/>
      <c r="AO74" s="160"/>
      <c r="AP74" s="160"/>
      <c r="AQ74" s="160"/>
      <c r="AR74" s="160"/>
      <c r="AS74" s="160"/>
      <c r="AT74" s="160"/>
      <c r="AU74" s="330"/>
      <c r="AV74" s="189"/>
      <c r="AW74" s="211"/>
      <c r="AX74" s="171"/>
      <c r="AY74" s="154"/>
      <c r="AZ74" s="155"/>
      <c r="BA74" s="176"/>
      <c r="DN74" s="16"/>
    </row>
    <row r="75" spans="1:121" ht="16" customHeight="1" thickBot="1" x14ac:dyDescent="0.25">
      <c r="A75" s="16"/>
      <c r="B75" s="16"/>
      <c r="C75" s="16"/>
      <c r="D75" s="16"/>
      <c r="E75" s="16"/>
      <c r="F75" s="16"/>
      <c r="G75" s="16"/>
      <c r="H75" s="16"/>
      <c r="I75" s="16"/>
      <c r="J75" s="16"/>
      <c r="K75" s="16"/>
      <c r="L75" s="16"/>
      <c r="M75" s="16"/>
      <c r="N75" s="16"/>
      <c r="O75" s="16"/>
      <c r="P75" s="16"/>
      <c r="Q75" s="16"/>
      <c r="R75" s="16"/>
      <c r="S75" s="16"/>
      <c r="T75" s="16"/>
      <c r="U75" s="16"/>
      <c r="V75" s="17"/>
      <c r="W75" s="8"/>
      <c r="X75" s="69" t="str">
        <f>X3</f>
        <v>Date</v>
      </c>
      <c r="Y75" s="69" t="str">
        <f>Y3</f>
        <v>Hour</v>
      </c>
      <c r="Z75" s="55" t="str">
        <f>Z3</f>
        <v>R</v>
      </c>
      <c r="AA75" s="57" t="str">
        <f>AA3</f>
        <v>Home</v>
      </c>
      <c r="AB75" s="56"/>
      <c r="AC75" s="55" t="str">
        <f>AC3</f>
        <v>Goal</v>
      </c>
      <c r="AD75" s="55" t="str">
        <f>AD3</f>
        <v>Goal</v>
      </c>
      <c r="AE75" s="56"/>
      <c r="AF75" s="58" t="str">
        <f>AF3</f>
        <v>Away</v>
      </c>
      <c r="AG75" s="324"/>
      <c r="AH75" s="195"/>
      <c r="AI75" s="179"/>
      <c r="AJ75" s="162"/>
      <c r="AK75" s="600"/>
      <c r="AL75" s="162"/>
      <c r="AM75" s="162"/>
      <c r="AN75" s="162"/>
      <c r="AO75" s="162"/>
      <c r="AP75" s="162"/>
      <c r="AQ75" s="162"/>
      <c r="AR75" s="162"/>
      <c r="AS75" s="162"/>
      <c r="AT75" s="162"/>
      <c r="AU75" s="331"/>
      <c r="AV75" s="188"/>
      <c r="AW75" s="212"/>
      <c r="AX75" s="172"/>
      <c r="AY75" s="154"/>
      <c r="AZ75" s="155"/>
      <c r="BA75" s="176"/>
      <c r="DN75" s="16"/>
    </row>
    <row r="76" spans="1:121" ht="16" customHeight="1" thickBot="1" x14ac:dyDescent="0.25">
      <c r="A76" s="16" t="s">
        <v>32</v>
      </c>
      <c r="B76" s="16" t="s">
        <v>5</v>
      </c>
      <c r="C76" s="16">
        <f>COUNTIF(Equipos!$C$2:$C$49,WORLDCUP!B76)</f>
        <v>4</v>
      </c>
      <c r="D76" s="16" t="str">
        <f t="shared" ref="D76:D81" si="235">IF(OR(AC76="",AD76=""),"Pendiente",IF(AC76&gt;AD76,"Local",IF(AC76&lt;AD76,"Visitante","Empate")))</f>
        <v>Pendiente</v>
      </c>
      <c r="E76" s="16" t="str">
        <f t="shared" ref="E76:E81" si="236">IF(D76="Pendiente","-",INDEX($BT$6:$BT$53,MATCH($AA76,$BD$6:$BD$53,0)))</f>
        <v>-</v>
      </c>
      <c r="F76" s="16" t="str">
        <f t="shared" ref="F76:F81" si="237">IF(D76="Pendiente","-",INDEX($BT$6:$BT$53,MATCH($AF76,$BD$6:$BD$53,0)))</f>
        <v>-</v>
      </c>
      <c r="G76" s="16"/>
      <c r="H76" s="16" t="str">
        <f t="shared" ref="H76:H81" si="238">IF(D76="Pendiente","-",INDEX($BZ$6:$BZ$53,MATCH($AA76,$BD$6:$BD$53,0)))</f>
        <v>-</v>
      </c>
      <c r="I76" s="16" t="str">
        <f t="shared" ref="I76:I81" si="239">IF(D76="Pendiente","-",INDEX($BZ$6:$BZ$53,MATCH($AF76,$BD$6:$BD$53,0)))</f>
        <v>-</v>
      </c>
      <c r="J76" s="16"/>
      <c r="K76" s="16" t="str">
        <f t="shared" ref="K76:K81" si="240">IF(D76="Pendiente","-",INDEX($CE$6:$CE$53,MATCH($AA76,$BD$6:$BD$53,0)))</f>
        <v>-</v>
      </c>
      <c r="L76" s="16" t="str">
        <f t="shared" ref="L76:L81" si="241">IF(D76="Pendiente","-",INDEX($CE$6:$CE$53,MATCH($AF76,$BD$6:$BD$53,0)))</f>
        <v>-</v>
      </c>
      <c r="M76" s="16"/>
      <c r="N76" s="16" t="str">
        <f t="shared" ref="N76:N81" si="242">IF(D76="Pendiente","-",INDEX($CH$6:$CH$53,MATCH($AA76,$BD$6:$BD$53,0)))</f>
        <v>-</v>
      </c>
      <c r="O76" s="16" t="str">
        <f t="shared" ref="O76:O81" si="243">IF(D76="Pendiente","-",INDEX($CH$6:$CH$53,MATCH($AF76,$BD$6:$BD$53,0)))</f>
        <v>-</v>
      </c>
      <c r="P76" s="16"/>
      <c r="Q76" s="16" t="str">
        <f t="shared" ref="Q76:Q81" si="244">IF(D76="Pendiente","-",INDEX($CN$6:$CN$53,MATCH($AA76,$BD$6:$BD$53,0)))</f>
        <v>-</v>
      </c>
      <c r="R76" s="16" t="str">
        <f t="shared" ref="R76:R81" si="245">IF(D76="Pendiente","-",INDEX($CN$6:$CN$53,MATCH($AF76,$BD$6:$BD$53,0)))</f>
        <v>-</v>
      </c>
      <c r="S76" s="16"/>
      <c r="T76" s="16" t="str">
        <f t="shared" ref="T76:T81" si="246">IF(D76="Pendiente","-",INDEX($CS$6:$CS$53,MATCH($AA76,$BD$6:$BD$53,0)))</f>
        <v>-</v>
      </c>
      <c r="U76" s="16" t="str">
        <f t="shared" ref="U76:U81" si="247">IF(D76="Pendiente","-",INDEX($CS$6:$CS$53,MATCH($AF76,$BD$6:$BD$53,0)))</f>
        <v>-</v>
      </c>
      <c r="V76" s="17"/>
      <c r="W76" s="667" t="s">
        <v>5</v>
      </c>
      <c r="X76" s="24">
        <f ca="1">Horarios!C76</f>
        <v>46189.875</v>
      </c>
      <c r="Y76" s="25">
        <f ca="1">Horarios!C76</f>
        <v>46189.875</v>
      </c>
      <c r="Z76" s="26" t="str">
        <f>$Z$4</f>
        <v>R1</v>
      </c>
      <c r="AA76" s="27" t="str">
        <f ca="1">A77</f>
        <v>Argentina</v>
      </c>
      <c r="AB76" s="49" t="str" cm="1">
        <f t="array" aca="1" ref="AB76" ca="1">Ver_flag_local</f>
        <v>🇦🇷</v>
      </c>
      <c r="AC76" s="50"/>
      <c r="AD76" s="51"/>
      <c r="AE76" s="595" t="str" cm="1">
        <f t="array" aca="1" ref="AE76" ca="1">Ver_flag_visit</f>
        <v>🇩🇿</v>
      </c>
      <c r="AF76" s="32" t="str">
        <f ca="1">A78</f>
        <v>Algeria</v>
      </c>
      <c r="AG76" s="323">
        <f t="shared" ref="AG76:AG81" si="248">IF(NOT(OR(ISBLANK(AC76),ISBLANK(AD76))),1,0)</f>
        <v>0</v>
      </c>
      <c r="AH76" s="195">
        <v>19</v>
      </c>
      <c r="AI76" s="181"/>
      <c r="AJ76" s="59" t="str">
        <f>CONCATENATE(AJ3," ",B76)</f>
        <v>Group J</v>
      </c>
      <c r="AK76" s="60"/>
      <c r="AL76" s="60"/>
      <c r="AM76" s="60"/>
      <c r="AN76" s="60"/>
      <c r="AO76" s="60"/>
      <c r="AP76" s="60"/>
      <c r="AQ76" s="60"/>
      <c r="AR76" s="60"/>
      <c r="AS76" s="60"/>
      <c r="AT76" s="61"/>
      <c r="AU76" s="331"/>
      <c r="AV76" s="286" t="str">
        <f ca="1">IF(AU77&gt;0,$AV$3,"")</f>
        <v/>
      </c>
      <c r="AW76" s="167"/>
      <c r="AX76" s="167"/>
      <c r="AY76" s="154"/>
      <c r="AZ76" s="155"/>
      <c r="BA76" s="176"/>
      <c r="DN76" s="16"/>
    </row>
    <row r="77" spans="1:121" ht="16" customHeight="1" x14ac:dyDescent="0.2">
      <c r="A77" s="16" t="str">
        <f ca="1">+Equipos!B38</f>
        <v>Argentina</v>
      </c>
      <c r="B77" s="16"/>
      <c r="C77" s="16"/>
      <c r="D77" s="16" t="str">
        <f t="shared" si="235"/>
        <v>Pendiente</v>
      </c>
      <c r="E77" s="16" t="str">
        <f t="shared" si="236"/>
        <v>-</v>
      </c>
      <c r="F77" s="16" t="str">
        <f t="shared" si="237"/>
        <v>-</v>
      </c>
      <c r="G77" s="16"/>
      <c r="H77" s="16" t="str">
        <f t="shared" si="238"/>
        <v>-</v>
      </c>
      <c r="I77" s="16" t="str">
        <f t="shared" si="239"/>
        <v>-</v>
      </c>
      <c r="J77" s="16"/>
      <c r="K77" s="16" t="str">
        <f t="shared" si="240"/>
        <v>-</v>
      </c>
      <c r="L77" s="16" t="str">
        <f t="shared" si="241"/>
        <v>-</v>
      </c>
      <c r="M77" s="16"/>
      <c r="N77" s="16" t="str">
        <f t="shared" si="242"/>
        <v>-</v>
      </c>
      <c r="O77" s="16" t="str">
        <f t="shared" si="243"/>
        <v>-</v>
      </c>
      <c r="P77" s="16"/>
      <c r="Q77" s="16" t="str">
        <f t="shared" si="244"/>
        <v>-</v>
      </c>
      <c r="R77" s="16" t="str">
        <f t="shared" si="245"/>
        <v>-</v>
      </c>
      <c r="S77" s="16"/>
      <c r="T77" s="16" t="str">
        <f t="shared" si="246"/>
        <v>-</v>
      </c>
      <c r="U77" s="16" t="str">
        <f t="shared" si="247"/>
        <v>-</v>
      </c>
      <c r="V77" s="17"/>
      <c r="W77" s="667"/>
      <c r="X77" s="24">
        <f ca="1">Horarios!C77</f>
        <v>46190</v>
      </c>
      <c r="Y77" s="25">
        <f ca="1">Horarios!C77</f>
        <v>46190</v>
      </c>
      <c r="Z77" s="26" t="str">
        <f>$Z$4</f>
        <v>R1</v>
      </c>
      <c r="AA77" s="27" t="str">
        <f ca="1">A79</f>
        <v>Austria</v>
      </c>
      <c r="AB77" s="49" t="str" cm="1">
        <f t="array" aca="1" ref="AB77" ca="1">Ver_flag_local</f>
        <v>🇦🇹</v>
      </c>
      <c r="AC77" s="50"/>
      <c r="AD77" s="51"/>
      <c r="AE77" s="595" t="str" cm="1">
        <f t="array" aca="1" ref="AE77" ca="1">Ver_flag_visit</f>
        <v>🇯🇴</v>
      </c>
      <c r="AF77" s="32" t="str">
        <f ca="1">A80</f>
        <v>Jordan</v>
      </c>
      <c r="AG77" s="323">
        <f t="shared" si="248"/>
        <v>0</v>
      </c>
      <c r="AH77" s="195">
        <v>20</v>
      </c>
      <c r="AI77" s="181"/>
      <c r="AJ77" s="62" t="str">
        <f>AJ5</f>
        <v>Pos</v>
      </c>
      <c r="AK77" s="63"/>
      <c r="AL77" s="64" t="str">
        <f t="shared" ref="AL77:AT77" si="249">AL5</f>
        <v>Nation</v>
      </c>
      <c r="AM77" s="63" t="str">
        <f t="shared" si="249"/>
        <v>Pts</v>
      </c>
      <c r="AN77" s="63" t="str">
        <f t="shared" si="249"/>
        <v>P</v>
      </c>
      <c r="AO77" s="63" t="str">
        <f t="shared" si="249"/>
        <v>W</v>
      </c>
      <c r="AP77" s="63" t="str">
        <f t="shared" si="249"/>
        <v>D</v>
      </c>
      <c r="AQ77" s="63" t="str">
        <f t="shared" si="249"/>
        <v>L</v>
      </c>
      <c r="AR77" s="63" t="str">
        <f t="shared" si="249"/>
        <v>F</v>
      </c>
      <c r="AS77" s="63" t="str">
        <f t="shared" si="249"/>
        <v>A</v>
      </c>
      <c r="AT77" s="65" t="str">
        <f t="shared" si="249"/>
        <v>GD</v>
      </c>
      <c r="AU77" s="331">
        <f t="shared" ref="AU77" ca="1" si="250">COUNTIF(AU78:AU81,"&gt;1")</f>
        <v>0</v>
      </c>
      <c r="AV77" s="192"/>
      <c r="AW77" s="167"/>
      <c r="AX77" s="167"/>
      <c r="AY77" s="207" t="str">
        <f>AL77</f>
        <v>Nation</v>
      </c>
      <c r="AZ77" s="208" t="str">
        <f>+Idiomas!$D$67</f>
        <v>Deducted Points</v>
      </c>
      <c r="BA77" s="176"/>
      <c r="DN77" s="16"/>
    </row>
    <row r="78" spans="1:121" ht="16" customHeight="1" x14ac:dyDescent="0.2">
      <c r="A78" s="16" t="str">
        <f ca="1">+Equipos!B39</f>
        <v>Algeria</v>
      </c>
      <c r="B78" s="16"/>
      <c r="C78" s="16"/>
      <c r="D78" s="16" t="str">
        <f t="shared" si="235"/>
        <v>Pendiente</v>
      </c>
      <c r="E78" s="16" t="str">
        <f t="shared" si="236"/>
        <v>-</v>
      </c>
      <c r="F78" s="16" t="str">
        <f t="shared" si="237"/>
        <v>-</v>
      </c>
      <c r="G78" s="16"/>
      <c r="H78" s="16" t="str">
        <f t="shared" si="238"/>
        <v>-</v>
      </c>
      <c r="I78" s="16" t="str">
        <f t="shared" si="239"/>
        <v>-</v>
      </c>
      <c r="J78" s="16"/>
      <c r="K78" s="16" t="str">
        <f t="shared" si="240"/>
        <v>-</v>
      </c>
      <c r="L78" s="16" t="str">
        <f t="shared" si="241"/>
        <v>-</v>
      </c>
      <c r="M78" s="16"/>
      <c r="N78" s="16" t="str">
        <f t="shared" si="242"/>
        <v>-</v>
      </c>
      <c r="O78" s="16" t="str">
        <f t="shared" si="243"/>
        <v>-</v>
      </c>
      <c r="P78" s="16"/>
      <c r="Q78" s="16" t="str">
        <f t="shared" si="244"/>
        <v>-</v>
      </c>
      <c r="R78" s="16" t="str">
        <f t="shared" si="245"/>
        <v>-</v>
      </c>
      <c r="S78" s="16"/>
      <c r="T78" s="16" t="str">
        <f t="shared" si="246"/>
        <v>-</v>
      </c>
      <c r="U78" s="16" t="str">
        <f t="shared" si="247"/>
        <v>-</v>
      </c>
      <c r="V78" s="17"/>
      <c r="W78" s="667"/>
      <c r="X78" s="24">
        <f ca="1">Horarios!C78</f>
        <v>46195.541666666664</v>
      </c>
      <c r="Y78" s="25">
        <f ca="1">Horarios!C78</f>
        <v>46195.541666666664</v>
      </c>
      <c r="Z78" s="26" t="str">
        <f>$Z$6</f>
        <v>R2</v>
      </c>
      <c r="AA78" s="27" t="str">
        <f ca="1">A77</f>
        <v>Argentina</v>
      </c>
      <c r="AB78" s="49" t="str" cm="1">
        <f t="array" aca="1" ref="AB78" ca="1">Ver_flag_local</f>
        <v>🇦🇷</v>
      </c>
      <c r="AC78" s="50"/>
      <c r="AD78" s="51"/>
      <c r="AE78" s="595" t="str" cm="1">
        <f t="array" aca="1" ref="AE78" ca="1">Ver_flag_visit</f>
        <v>🇦🇹</v>
      </c>
      <c r="AF78" s="32" t="str">
        <f ca="1">A79</f>
        <v>Austria</v>
      </c>
      <c r="AG78" s="323">
        <f t="shared" si="248"/>
        <v>0</v>
      </c>
      <c r="AH78" s="195">
        <v>43</v>
      </c>
      <c r="AI78" s="181" t="str">
        <f>AJ78&amp;$B$76</f>
        <v>1J</v>
      </c>
      <c r="AJ78" s="40">
        <v>1</v>
      </c>
      <c r="AK78" s="601" t="str" cm="1">
        <f t="array" aca="1" ref="AK78" ca="1">Ver_flag_visit</f>
        <v>🇦🇷</v>
      </c>
      <c r="AL78" s="34" t="str">
        <f ca="1">IFERROR(INDEX($BD$6:$BD$53,MATCH(AI78,$BN$6:$BN$53,0)),"")</f>
        <v>Argentina</v>
      </c>
      <c r="AM78" s="35">
        <f t="shared" ref="AM78:AT81" ca="1" si="251">INDEX($BE$6:$BN$53,MATCH($AL78,$BD$6:$BD$53,0),MATCH(AM$5,$BE$5:$BN$5,0))</f>
        <v>0</v>
      </c>
      <c r="AN78" s="36">
        <f t="shared" ca="1" si="251"/>
        <v>0</v>
      </c>
      <c r="AO78" s="36">
        <f t="shared" ca="1" si="251"/>
        <v>0</v>
      </c>
      <c r="AP78" s="36">
        <f t="shared" ca="1" si="251"/>
        <v>0</v>
      </c>
      <c r="AQ78" s="36">
        <f t="shared" ca="1" si="251"/>
        <v>0</v>
      </c>
      <c r="AR78" s="36">
        <f t="shared" ca="1" si="251"/>
        <v>0</v>
      </c>
      <c r="AS78" s="36">
        <f t="shared" ca="1" si="251"/>
        <v>0</v>
      </c>
      <c r="AT78" s="41">
        <f t="shared" ca="1" si="251"/>
        <v>0</v>
      </c>
      <c r="AU78" s="330">
        <f ca="1">INDEX($DL$6:$DL$53,MATCH(AI78,$DP$6:$DP$53,0))</f>
        <v>1</v>
      </c>
      <c r="AV78" s="182" t="str">
        <f ca="1">INDEX($BD$6:$BD$53,MATCH(AI78,$BM$6:$BM$53,0))</f>
        <v>Argentina</v>
      </c>
      <c r="AW78" s="210"/>
      <c r="AX78" s="171"/>
      <c r="AY78" s="201" t="str">
        <f ca="1">+A77</f>
        <v>Argentina</v>
      </c>
      <c r="AZ78" s="202"/>
      <c r="BA78" s="176"/>
      <c r="DN78" s="16"/>
    </row>
    <row r="79" spans="1:121" ht="16" customHeight="1" x14ac:dyDescent="0.2">
      <c r="A79" s="16" t="str">
        <f ca="1">+Equipos!B40</f>
        <v>Austria</v>
      </c>
      <c r="B79" s="16"/>
      <c r="C79" s="16"/>
      <c r="D79" s="16" t="str">
        <f t="shared" si="235"/>
        <v>Pendiente</v>
      </c>
      <c r="E79" s="16" t="str">
        <f t="shared" si="236"/>
        <v>-</v>
      </c>
      <c r="F79" s="16" t="str">
        <f t="shared" si="237"/>
        <v>-</v>
      </c>
      <c r="G79" s="16"/>
      <c r="H79" s="16" t="str">
        <f t="shared" si="238"/>
        <v>-</v>
      </c>
      <c r="I79" s="16" t="str">
        <f t="shared" si="239"/>
        <v>-</v>
      </c>
      <c r="J79" s="16"/>
      <c r="K79" s="16" t="str">
        <f t="shared" si="240"/>
        <v>-</v>
      </c>
      <c r="L79" s="16" t="str">
        <f t="shared" si="241"/>
        <v>-</v>
      </c>
      <c r="M79" s="16"/>
      <c r="N79" s="16" t="str">
        <f t="shared" si="242"/>
        <v>-</v>
      </c>
      <c r="O79" s="16" t="str">
        <f t="shared" si="243"/>
        <v>-</v>
      </c>
      <c r="P79" s="16"/>
      <c r="Q79" s="16" t="str">
        <f t="shared" si="244"/>
        <v>-</v>
      </c>
      <c r="R79" s="16" t="str">
        <f t="shared" si="245"/>
        <v>-</v>
      </c>
      <c r="S79" s="16"/>
      <c r="T79" s="16" t="str">
        <f t="shared" si="246"/>
        <v>-</v>
      </c>
      <c r="U79" s="16" t="str">
        <f t="shared" si="247"/>
        <v>-</v>
      </c>
      <c r="V79" s="17"/>
      <c r="W79" s="667"/>
      <c r="X79" s="24">
        <f ca="1">Horarios!C79</f>
        <v>46195.958333333336</v>
      </c>
      <c r="Y79" s="25">
        <f ca="1">Horarios!C79</f>
        <v>46195.958333333336</v>
      </c>
      <c r="Z79" s="26" t="str">
        <f>$Z$6</f>
        <v>R2</v>
      </c>
      <c r="AA79" s="27" t="str">
        <f ca="1">A80</f>
        <v>Jordan</v>
      </c>
      <c r="AB79" s="49" t="str" cm="1">
        <f t="array" aca="1" ref="AB79" ca="1">Ver_flag_local</f>
        <v>🇯🇴</v>
      </c>
      <c r="AC79" s="50"/>
      <c r="AD79" s="51"/>
      <c r="AE79" s="595" t="str" cm="1">
        <f t="array" aca="1" ref="AE79" ca="1">Ver_flag_visit</f>
        <v>🇩🇿</v>
      </c>
      <c r="AF79" s="32" t="str">
        <f ca="1">A78</f>
        <v>Algeria</v>
      </c>
      <c r="AG79" s="323">
        <f t="shared" si="248"/>
        <v>0</v>
      </c>
      <c r="AH79" s="195">
        <v>44</v>
      </c>
      <c r="AI79" s="181" t="str">
        <f t="shared" ref="AI79:AI81" si="252">AJ79&amp;$B$76</f>
        <v>2J</v>
      </c>
      <c r="AJ79" s="42">
        <v>2</v>
      </c>
      <c r="AK79" s="602" t="str" cm="1">
        <f t="array" aca="1" ref="AK79" ca="1">Ver_flag_visit</f>
        <v>🇩🇿</v>
      </c>
      <c r="AL79" s="37" t="str">
        <f ca="1">IFERROR(INDEX($BD$6:$BD$53,MATCH(AI79,$BN$6:$BN$53,0)),"")</f>
        <v>Algeria</v>
      </c>
      <c r="AM79" s="38">
        <f t="shared" ca="1" si="251"/>
        <v>0</v>
      </c>
      <c r="AN79" s="39">
        <f t="shared" ca="1" si="251"/>
        <v>0</v>
      </c>
      <c r="AO79" s="39">
        <f t="shared" ca="1" si="251"/>
        <v>0</v>
      </c>
      <c r="AP79" s="39">
        <f t="shared" ca="1" si="251"/>
        <v>0</v>
      </c>
      <c r="AQ79" s="39">
        <f t="shared" ca="1" si="251"/>
        <v>0</v>
      </c>
      <c r="AR79" s="39">
        <f t="shared" ca="1" si="251"/>
        <v>0</v>
      </c>
      <c r="AS79" s="39">
        <f t="shared" ca="1" si="251"/>
        <v>0</v>
      </c>
      <c r="AT79" s="43">
        <f t="shared" ca="1" si="251"/>
        <v>0</v>
      </c>
      <c r="AU79" s="330">
        <f ca="1">INDEX($DL$6:$DL$53,MATCH(AI79,$DP$6:$DP$53,0))</f>
        <v>1</v>
      </c>
      <c r="AV79" s="182" t="str">
        <f ca="1">INDEX($BD$6:$BD$53,MATCH(AI79,$BM$6:$BM$53,0))</f>
        <v>Algeria</v>
      </c>
      <c r="AW79" s="210"/>
      <c r="AX79" s="171"/>
      <c r="AY79" s="203" t="str">
        <f ca="1">+A78</f>
        <v>Algeria</v>
      </c>
      <c r="AZ79" s="204"/>
      <c r="BA79" s="176"/>
      <c r="DN79" s="16"/>
    </row>
    <row r="80" spans="1:121" ht="16" customHeight="1" x14ac:dyDescent="0.2">
      <c r="A80" s="16" t="str">
        <f ca="1">+Equipos!B41</f>
        <v>Jordan</v>
      </c>
      <c r="B80" s="16"/>
      <c r="C80" s="16"/>
      <c r="D80" s="16" t="str">
        <f t="shared" si="235"/>
        <v>Pendiente</v>
      </c>
      <c r="E80" s="16" t="str">
        <f t="shared" si="236"/>
        <v>-</v>
      </c>
      <c r="F80" s="16" t="str">
        <f t="shared" si="237"/>
        <v>-</v>
      </c>
      <c r="G80" s="16"/>
      <c r="H80" s="16" t="str">
        <f t="shared" si="238"/>
        <v>-</v>
      </c>
      <c r="I80" s="16" t="str">
        <f t="shared" si="239"/>
        <v>-</v>
      </c>
      <c r="J80" s="16"/>
      <c r="K80" s="16" t="str">
        <f t="shared" si="240"/>
        <v>-</v>
      </c>
      <c r="L80" s="16" t="str">
        <f t="shared" si="241"/>
        <v>-</v>
      </c>
      <c r="M80" s="16"/>
      <c r="N80" s="16" t="str">
        <f t="shared" si="242"/>
        <v>-</v>
      </c>
      <c r="O80" s="16" t="str">
        <f t="shared" si="243"/>
        <v>-</v>
      </c>
      <c r="P80" s="16"/>
      <c r="Q80" s="16" t="str">
        <f t="shared" si="244"/>
        <v>-</v>
      </c>
      <c r="R80" s="16" t="str">
        <f t="shared" si="245"/>
        <v>-</v>
      </c>
      <c r="S80" s="16"/>
      <c r="T80" s="16" t="str">
        <f t="shared" si="246"/>
        <v>-</v>
      </c>
      <c r="U80" s="16" t="str">
        <f t="shared" si="247"/>
        <v>-</v>
      </c>
      <c r="V80" s="17"/>
      <c r="W80" s="667"/>
      <c r="X80" s="24">
        <f ca="1">Horarios!C80</f>
        <v>46200.916666666664</v>
      </c>
      <c r="Y80" s="25">
        <f ca="1">Horarios!C80</f>
        <v>46200.916666666664</v>
      </c>
      <c r="Z80" s="26" t="str">
        <f>$Z$8</f>
        <v>R3</v>
      </c>
      <c r="AA80" s="27" t="str">
        <f ca="1">A78</f>
        <v>Algeria</v>
      </c>
      <c r="AB80" s="49" t="str" cm="1">
        <f t="array" aca="1" ref="AB80" ca="1">Ver_flag_local</f>
        <v>🇩🇿</v>
      </c>
      <c r="AC80" s="50"/>
      <c r="AD80" s="51"/>
      <c r="AE80" s="595" t="str" cm="1">
        <f t="array" aca="1" ref="AE80" ca="1">Ver_flag_visit</f>
        <v>🇦🇹</v>
      </c>
      <c r="AF80" s="32" t="str">
        <f ca="1">A79</f>
        <v>Austria</v>
      </c>
      <c r="AG80" s="323">
        <f t="shared" si="248"/>
        <v>0</v>
      </c>
      <c r="AH80" s="195">
        <v>69</v>
      </c>
      <c r="AI80" s="181" t="str">
        <f t="shared" si="252"/>
        <v>3J</v>
      </c>
      <c r="AJ80" s="42">
        <v>3</v>
      </c>
      <c r="AK80" s="602" t="str" cm="1">
        <f t="array" aca="1" ref="AK80" ca="1">Ver_flag_visit</f>
        <v>🇦🇹</v>
      </c>
      <c r="AL80" s="37" t="str">
        <f ca="1">IFERROR(INDEX($BD$6:$BD$53,MATCH(AI80,$BN$6:$BN$53,0)),"")</f>
        <v>Austria</v>
      </c>
      <c r="AM80" s="38">
        <f t="shared" ca="1" si="251"/>
        <v>0</v>
      </c>
      <c r="AN80" s="39">
        <f t="shared" ca="1" si="251"/>
        <v>0</v>
      </c>
      <c r="AO80" s="39">
        <f t="shared" ca="1" si="251"/>
        <v>0</v>
      </c>
      <c r="AP80" s="39">
        <f t="shared" ca="1" si="251"/>
        <v>0</v>
      </c>
      <c r="AQ80" s="39">
        <f t="shared" ca="1" si="251"/>
        <v>0</v>
      </c>
      <c r="AR80" s="39">
        <f t="shared" ca="1" si="251"/>
        <v>0</v>
      </c>
      <c r="AS80" s="39">
        <f t="shared" ca="1" si="251"/>
        <v>0</v>
      </c>
      <c r="AT80" s="43">
        <f t="shared" ca="1" si="251"/>
        <v>0</v>
      </c>
      <c r="AU80" s="330">
        <f ca="1">INDEX($DL$6:$DL$53,MATCH(AI80,$DP$6:$DP$53,0))</f>
        <v>1</v>
      </c>
      <c r="AV80" s="182" t="str">
        <f ca="1">INDEX($BD$6:$BD$53,MATCH(AI80,$BM$6:$BM$53,0))</f>
        <v>Austria</v>
      </c>
      <c r="AW80" s="210"/>
      <c r="AX80" s="171"/>
      <c r="AY80" s="201" t="str">
        <f ca="1">+A79</f>
        <v>Austria</v>
      </c>
      <c r="AZ80" s="202"/>
      <c r="BA80" s="176"/>
      <c r="DN80" s="16"/>
    </row>
    <row r="81" spans="1:118" ht="16" customHeight="1" thickBot="1" x14ac:dyDescent="0.25">
      <c r="A81" s="16"/>
      <c r="B81" s="16"/>
      <c r="C81" s="16"/>
      <c r="D81" s="16" t="str">
        <f t="shared" si="235"/>
        <v>Pendiente</v>
      </c>
      <c r="E81" s="16" t="str">
        <f t="shared" si="236"/>
        <v>-</v>
      </c>
      <c r="F81" s="16" t="str">
        <f t="shared" si="237"/>
        <v>-</v>
      </c>
      <c r="G81" s="16"/>
      <c r="H81" s="16" t="str">
        <f t="shared" si="238"/>
        <v>-</v>
      </c>
      <c r="I81" s="16" t="str">
        <f t="shared" si="239"/>
        <v>-</v>
      </c>
      <c r="J81" s="16"/>
      <c r="K81" s="16" t="str">
        <f t="shared" si="240"/>
        <v>-</v>
      </c>
      <c r="L81" s="16" t="str">
        <f t="shared" si="241"/>
        <v>-</v>
      </c>
      <c r="M81" s="16"/>
      <c r="N81" s="16" t="str">
        <f t="shared" si="242"/>
        <v>-</v>
      </c>
      <c r="O81" s="16" t="str">
        <f t="shared" si="243"/>
        <v>-</v>
      </c>
      <c r="P81" s="16"/>
      <c r="Q81" s="16" t="str">
        <f t="shared" si="244"/>
        <v>-</v>
      </c>
      <c r="R81" s="16" t="str">
        <f t="shared" si="245"/>
        <v>-</v>
      </c>
      <c r="S81" s="16"/>
      <c r="T81" s="16" t="str">
        <f t="shared" si="246"/>
        <v>-</v>
      </c>
      <c r="U81" s="16" t="str">
        <f t="shared" si="247"/>
        <v>-</v>
      </c>
      <c r="V81" s="17"/>
      <c r="W81" s="668"/>
      <c r="X81" s="28">
        <f ca="1">Horarios!C81</f>
        <v>46200.916666666664</v>
      </c>
      <c r="Y81" s="29">
        <f ca="1">Horarios!C81</f>
        <v>46200.916666666664</v>
      </c>
      <c r="Z81" s="30" t="str">
        <f>$Z$8</f>
        <v>R3</v>
      </c>
      <c r="AA81" s="31" t="str">
        <f ca="1">A80</f>
        <v>Jordan</v>
      </c>
      <c r="AB81" s="52" t="str" cm="1">
        <f t="array" aca="1" ref="AB81" ca="1">Ver_flag_local</f>
        <v>🇯🇴</v>
      </c>
      <c r="AC81" s="53"/>
      <c r="AD81" s="54"/>
      <c r="AE81" s="596" t="str" cm="1">
        <f t="array" aca="1" ref="AE81" ca="1">Ver_flag_visit</f>
        <v>🇦🇷</v>
      </c>
      <c r="AF81" s="33" t="str">
        <f ca="1">A77</f>
        <v>Argentina</v>
      </c>
      <c r="AG81" s="323">
        <f t="shared" si="248"/>
        <v>0</v>
      </c>
      <c r="AH81" s="195">
        <v>70</v>
      </c>
      <c r="AI81" s="181" t="str">
        <f t="shared" si="252"/>
        <v>4J</v>
      </c>
      <c r="AJ81" s="44">
        <v>4</v>
      </c>
      <c r="AK81" s="604" t="str" cm="1">
        <f t="array" aca="1" ref="AK81" ca="1">Ver_flag_visit</f>
        <v>🇯🇴</v>
      </c>
      <c r="AL81" s="45" t="str">
        <f ca="1">IFERROR(INDEX($BD$6:$BD$53,MATCH(AI81,$BN$6:$BN$53,0)),"")</f>
        <v>Jordan</v>
      </c>
      <c r="AM81" s="46">
        <f t="shared" ca="1" si="251"/>
        <v>0</v>
      </c>
      <c r="AN81" s="47">
        <f t="shared" ca="1" si="251"/>
        <v>0</v>
      </c>
      <c r="AO81" s="47">
        <f t="shared" ca="1" si="251"/>
        <v>0</v>
      </c>
      <c r="AP81" s="47">
        <f t="shared" ca="1" si="251"/>
        <v>0</v>
      </c>
      <c r="AQ81" s="47">
        <f t="shared" ca="1" si="251"/>
        <v>0</v>
      </c>
      <c r="AR81" s="47">
        <f t="shared" ca="1" si="251"/>
        <v>0</v>
      </c>
      <c r="AS81" s="47">
        <f t="shared" ca="1" si="251"/>
        <v>0</v>
      </c>
      <c r="AT81" s="48">
        <f t="shared" ca="1" si="251"/>
        <v>0</v>
      </c>
      <c r="AU81" s="330">
        <f ca="1">INDEX($DL$6:$DL$53,MATCH(AI81,$DP$6:$DP$53,0))</f>
        <v>1</v>
      </c>
      <c r="AV81" s="182" t="str">
        <f ca="1">INDEX($BD$6:$BD$53,MATCH(AI81,$BM$6:$BM$53,0))</f>
        <v>Jordan</v>
      </c>
      <c r="AW81" s="210"/>
      <c r="AX81" s="171"/>
      <c r="AY81" s="205" t="str">
        <f ca="1">+A80</f>
        <v>Jordan</v>
      </c>
      <c r="AZ81" s="206"/>
      <c r="BA81" s="176"/>
      <c r="DN81" s="16"/>
    </row>
    <row r="82" spans="1:118" ht="16" customHeight="1" thickBot="1" x14ac:dyDescent="0.25">
      <c r="A82" s="16"/>
      <c r="B82" s="16"/>
      <c r="C82" s="16"/>
      <c r="D82" s="16"/>
      <c r="E82" s="16"/>
      <c r="F82" s="16"/>
      <c r="G82" s="16"/>
      <c r="H82" s="16"/>
      <c r="I82" s="16"/>
      <c r="J82" s="16"/>
      <c r="K82" s="16"/>
      <c r="L82" s="16"/>
      <c r="M82" s="16"/>
      <c r="N82" s="16"/>
      <c r="O82" s="16"/>
      <c r="P82" s="16"/>
      <c r="Q82" s="16"/>
      <c r="R82" s="16"/>
      <c r="S82" s="16"/>
      <c r="T82" s="16"/>
      <c r="U82" s="16"/>
      <c r="V82" s="17"/>
      <c r="W82" s="154"/>
      <c r="X82" s="155"/>
      <c r="Y82" s="154"/>
      <c r="Z82" s="156"/>
      <c r="AA82" s="157"/>
      <c r="AB82" s="158"/>
      <c r="AC82" s="151"/>
      <c r="AD82" s="151"/>
      <c r="AE82" s="158"/>
      <c r="AF82" s="159"/>
      <c r="AG82" s="325"/>
      <c r="AH82" s="195"/>
      <c r="AI82" s="180"/>
      <c r="AJ82" s="160"/>
      <c r="AK82" s="161"/>
      <c r="AL82" s="162"/>
      <c r="AM82" s="163"/>
      <c r="AN82" s="160"/>
      <c r="AO82" s="160"/>
      <c r="AP82" s="160"/>
      <c r="AQ82" s="160"/>
      <c r="AR82" s="160"/>
      <c r="AS82" s="160"/>
      <c r="AT82" s="160"/>
      <c r="AU82" s="330"/>
      <c r="AV82" s="189"/>
      <c r="AW82" s="211"/>
      <c r="AX82" s="171"/>
      <c r="AY82" s="154"/>
      <c r="AZ82" s="155"/>
      <c r="BA82" s="176"/>
      <c r="DN82" s="16"/>
    </row>
    <row r="83" spans="1:118" ht="16" customHeight="1" thickBot="1" x14ac:dyDescent="0.25">
      <c r="A83" s="16"/>
      <c r="B83" s="16"/>
      <c r="C83" s="16"/>
      <c r="D83" s="16"/>
      <c r="E83" s="16"/>
      <c r="F83" s="16"/>
      <c r="G83" s="16"/>
      <c r="H83" s="16"/>
      <c r="I83" s="16"/>
      <c r="J83" s="16"/>
      <c r="K83" s="16"/>
      <c r="L83" s="16"/>
      <c r="M83" s="16"/>
      <c r="N83" s="16"/>
      <c r="O83" s="16"/>
      <c r="P83" s="16"/>
      <c r="Q83" s="16"/>
      <c r="R83" s="16"/>
      <c r="S83" s="16"/>
      <c r="T83" s="16"/>
      <c r="U83" s="16"/>
      <c r="V83" s="17"/>
      <c r="W83" s="8"/>
      <c r="X83" s="69" t="str">
        <f>X3</f>
        <v>Date</v>
      </c>
      <c r="Y83" s="69" t="str">
        <f>Y3</f>
        <v>Hour</v>
      </c>
      <c r="Z83" s="55" t="str">
        <f>Z3</f>
        <v>R</v>
      </c>
      <c r="AA83" s="57" t="str">
        <f>AA3</f>
        <v>Home</v>
      </c>
      <c r="AB83" s="56"/>
      <c r="AC83" s="55" t="str">
        <f>AC3</f>
        <v>Goal</v>
      </c>
      <c r="AD83" s="55" t="str">
        <f>AD3</f>
        <v>Goal</v>
      </c>
      <c r="AE83" s="56"/>
      <c r="AF83" s="58" t="str">
        <f>AF3</f>
        <v>Away</v>
      </c>
      <c r="AG83" s="324"/>
      <c r="AH83" s="195"/>
      <c r="AI83" s="179"/>
      <c r="AJ83" s="162"/>
      <c r="AK83" s="600"/>
      <c r="AL83" s="162"/>
      <c r="AM83" s="162"/>
      <c r="AN83" s="162"/>
      <c r="AO83" s="162"/>
      <c r="AP83" s="162"/>
      <c r="AQ83" s="162"/>
      <c r="AR83" s="162"/>
      <c r="AS83" s="162"/>
      <c r="AT83" s="162"/>
      <c r="AU83" s="331"/>
      <c r="AV83" s="188"/>
      <c r="AW83" s="212"/>
      <c r="AX83" s="172"/>
      <c r="AY83" s="154"/>
      <c r="AZ83" s="155"/>
      <c r="BA83" s="176"/>
      <c r="DN83" s="16"/>
    </row>
    <row r="84" spans="1:118" ht="16" customHeight="1" thickBot="1" x14ac:dyDescent="0.25">
      <c r="A84" s="16" t="s">
        <v>32</v>
      </c>
      <c r="B84" s="16" t="s">
        <v>449</v>
      </c>
      <c r="C84" s="16">
        <f>COUNTIF(Equipos!$C$2:$C$49,WORLDCUP!B84)</f>
        <v>4</v>
      </c>
      <c r="D84" s="16" t="str">
        <f t="shared" ref="D84:D89" si="253">IF(OR(AC84="",AD84=""),"Pendiente",IF(AC84&gt;AD84,"Local",IF(AC84&lt;AD84,"Visitante","Empate")))</f>
        <v>Pendiente</v>
      </c>
      <c r="E84" s="16" t="str">
        <f t="shared" ref="E84:E89" si="254">IF(D84="Pendiente","-",INDEX($BT$6:$BT$53,MATCH($AA84,$BD$6:$BD$53,0)))</f>
        <v>-</v>
      </c>
      <c r="F84" s="16" t="str">
        <f t="shared" ref="F84:F89" si="255">IF(D84="Pendiente","-",INDEX($BT$6:$BT$53,MATCH($AF84,$BD$6:$BD$53,0)))</f>
        <v>-</v>
      </c>
      <c r="G84" s="16"/>
      <c r="H84" s="16" t="str">
        <f t="shared" ref="H84:H89" si="256">IF(D84="Pendiente","-",INDEX($BZ$6:$BZ$53,MATCH($AA84,$BD$6:$BD$53,0)))</f>
        <v>-</v>
      </c>
      <c r="I84" s="16" t="str">
        <f t="shared" ref="I84:I89" si="257">IF(D84="Pendiente","-",INDEX($BZ$6:$BZ$53,MATCH($AF84,$BD$6:$BD$53,0)))</f>
        <v>-</v>
      </c>
      <c r="J84" s="16"/>
      <c r="K84" s="16" t="str">
        <f t="shared" ref="K84:K89" si="258">IF(D84="Pendiente","-",INDEX($CE$6:$CE$53,MATCH($AA84,$BD$6:$BD$53,0)))</f>
        <v>-</v>
      </c>
      <c r="L84" s="16" t="str">
        <f t="shared" ref="L84:L89" si="259">IF(D84="Pendiente","-",INDEX($CE$6:$CE$53,MATCH($AF84,$BD$6:$BD$53,0)))</f>
        <v>-</v>
      </c>
      <c r="M84" s="16"/>
      <c r="N84" s="16" t="str">
        <f t="shared" ref="N84:N89" si="260">IF(D84="Pendiente","-",INDEX($CH$6:$CH$53,MATCH($AA84,$BD$6:$BD$53,0)))</f>
        <v>-</v>
      </c>
      <c r="O84" s="16" t="str">
        <f t="shared" ref="O84:O89" si="261">IF(D84="Pendiente","-",INDEX($CH$6:$CH$53,MATCH($AF84,$BD$6:$BD$53,0)))</f>
        <v>-</v>
      </c>
      <c r="P84" s="16"/>
      <c r="Q84" s="16" t="str">
        <f t="shared" ref="Q84:Q89" si="262">IF(D84="Pendiente","-",INDEX($CN$6:$CN$53,MATCH($AA84,$BD$6:$BD$53,0)))</f>
        <v>-</v>
      </c>
      <c r="R84" s="16" t="str">
        <f t="shared" ref="R84:R89" si="263">IF(D84="Pendiente","-",INDEX($CN$6:$CN$53,MATCH($AF84,$BD$6:$BD$53,0)))</f>
        <v>-</v>
      </c>
      <c r="S84" s="16"/>
      <c r="T84" s="16" t="str">
        <f t="shared" ref="T84:T89" si="264">IF(D84="Pendiente","-",INDEX($CS$6:$CS$53,MATCH($AA84,$BD$6:$BD$53,0)))</f>
        <v>-</v>
      </c>
      <c r="U84" s="16" t="str">
        <f t="shared" ref="U84:U89" si="265">IF(D84="Pendiente","-",INDEX($CS$6:$CS$53,MATCH($AF84,$BD$6:$BD$53,0)))</f>
        <v>-</v>
      </c>
      <c r="V84" s="17"/>
      <c r="W84" s="673" t="s">
        <v>449</v>
      </c>
      <c r="X84" s="24">
        <f ca="1">Horarios!C84</f>
        <v>46190.541666666664</v>
      </c>
      <c r="Y84" s="25">
        <f ca="1">Horarios!C84</f>
        <v>46190.541666666664</v>
      </c>
      <c r="Z84" s="26" t="str">
        <f>$Z$4</f>
        <v>R1</v>
      </c>
      <c r="AA84" s="27" t="str">
        <f ca="1">A85</f>
        <v>Portugal</v>
      </c>
      <c r="AB84" s="49" t="str" cm="1">
        <f t="array" aca="1" ref="AB84" ca="1">Ver_flag_local</f>
        <v>🇵🇹</v>
      </c>
      <c r="AC84" s="50"/>
      <c r="AD84" s="51"/>
      <c r="AE84" s="595" t="str" cm="1">
        <f t="array" aca="1" ref="AE84" ca="1">Ver_flag_visit</f>
        <v>🇨🇩</v>
      </c>
      <c r="AF84" s="32" t="str">
        <f ca="1">A86</f>
        <v>DR Congo</v>
      </c>
      <c r="AG84" s="323">
        <f t="shared" ref="AG84:AG89" si="266">IF(NOT(OR(ISBLANK(AC84),ISBLANK(AD84))),1,0)</f>
        <v>0</v>
      </c>
      <c r="AH84" s="195">
        <v>23</v>
      </c>
      <c r="AI84" s="181"/>
      <c r="AJ84" s="59" t="str">
        <f>CONCATENATE(AJ3," ",B84)</f>
        <v>Group K</v>
      </c>
      <c r="AK84" s="60"/>
      <c r="AL84" s="60"/>
      <c r="AM84" s="60"/>
      <c r="AN84" s="60"/>
      <c r="AO84" s="60"/>
      <c r="AP84" s="60"/>
      <c r="AQ84" s="60"/>
      <c r="AR84" s="60"/>
      <c r="AS84" s="60"/>
      <c r="AT84" s="61"/>
      <c r="AU84" s="331"/>
      <c r="AV84" s="286" t="str">
        <f ca="1">IF(AU85&gt;0,$AV$3,"")</f>
        <v/>
      </c>
      <c r="AW84" s="167"/>
      <c r="AX84" s="167"/>
      <c r="AY84" s="154"/>
      <c r="AZ84" s="155"/>
      <c r="BA84" s="176"/>
      <c r="DN84" s="16"/>
    </row>
    <row r="85" spans="1:118" ht="16" customHeight="1" x14ac:dyDescent="0.2">
      <c r="A85" s="16" t="str">
        <f ca="1">+Equipos!B42</f>
        <v>Portugal</v>
      </c>
      <c r="B85" s="16"/>
      <c r="C85" s="16"/>
      <c r="D85" s="16" t="str">
        <f t="shared" si="253"/>
        <v>Pendiente</v>
      </c>
      <c r="E85" s="16" t="str">
        <f t="shared" si="254"/>
        <v>-</v>
      </c>
      <c r="F85" s="16" t="str">
        <f t="shared" si="255"/>
        <v>-</v>
      </c>
      <c r="G85" s="16"/>
      <c r="H85" s="16" t="str">
        <f t="shared" si="256"/>
        <v>-</v>
      </c>
      <c r="I85" s="16" t="str">
        <f t="shared" si="257"/>
        <v>-</v>
      </c>
      <c r="J85" s="16"/>
      <c r="K85" s="16" t="str">
        <f t="shared" si="258"/>
        <v>-</v>
      </c>
      <c r="L85" s="16" t="str">
        <f t="shared" si="259"/>
        <v>-</v>
      </c>
      <c r="M85" s="16"/>
      <c r="N85" s="16" t="str">
        <f t="shared" si="260"/>
        <v>-</v>
      </c>
      <c r="O85" s="16" t="str">
        <f t="shared" si="261"/>
        <v>-</v>
      </c>
      <c r="P85" s="16"/>
      <c r="Q85" s="16" t="str">
        <f t="shared" si="262"/>
        <v>-</v>
      </c>
      <c r="R85" s="16" t="str">
        <f t="shared" si="263"/>
        <v>-</v>
      </c>
      <c r="S85" s="16"/>
      <c r="T85" s="16" t="str">
        <f t="shared" si="264"/>
        <v>-</v>
      </c>
      <c r="U85" s="16" t="str">
        <f t="shared" si="265"/>
        <v>-</v>
      </c>
      <c r="V85" s="17"/>
      <c r="W85" s="673"/>
      <c r="X85" s="24">
        <f ca="1">Horarios!C85</f>
        <v>46190.916666666664</v>
      </c>
      <c r="Y85" s="25">
        <f ca="1">Horarios!C85</f>
        <v>46190.916666666664</v>
      </c>
      <c r="Z85" s="26" t="str">
        <f>$Z$4</f>
        <v>R1</v>
      </c>
      <c r="AA85" s="27" t="str">
        <f ca="1">A87</f>
        <v>Uzbekistan</v>
      </c>
      <c r="AB85" s="49" t="str" cm="1">
        <f t="array" aca="1" ref="AB85" ca="1">Ver_flag_local</f>
        <v>🇺🇿</v>
      </c>
      <c r="AC85" s="50"/>
      <c r="AD85" s="51"/>
      <c r="AE85" s="595" t="str" cm="1">
        <f t="array" aca="1" ref="AE85" ca="1">Ver_flag_visit</f>
        <v>🇨🇴</v>
      </c>
      <c r="AF85" s="32" t="str">
        <f ca="1">A88</f>
        <v>Colombia</v>
      </c>
      <c r="AG85" s="323">
        <f t="shared" si="266"/>
        <v>0</v>
      </c>
      <c r="AH85" s="195">
        <v>24</v>
      </c>
      <c r="AI85" s="181"/>
      <c r="AJ85" s="62" t="str">
        <f>AJ5</f>
        <v>Pos</v>
      </c>
      <c r="AK85" s="63"/>
      <c r="AL85" s="64" t="str">
        <f t="shared" ref="AL85:AT85" si="267">AL5</f>
        <v>Nation</v>
      </c>
      <c r="AM85" s="63" t="str">
        <f t="shared" si="267"/>
        <v>Pts</v>
      </c>
      <c r="AN85" s="63" t="str">
        <f t="shared" si="267"/>
        <v>P</v>
      </c>
      <c r="AO85" s="63" t="str">
        <f t="shared" si="267"/>
        <v>W</v>
      </c>
      <c r="AP85" s="63" t="str">
        <f t="shared" si="267"/>
        <v>D</v>
      </c>
      <c r="AQ85" s="63" t="str">
        <f t="shared" si="267"/>
        <v>L</v>
      </c>
      <c r="AR85" s="63" t="str">
        <f t="shared" si="267"/>
        <v>F</v>
      </c>
      <c r="AS85" s="63" t="str">
        <f t="shared" si="267"/>
        <v>A</v>
      </c>
      <c r="AT85" s="65" t="str">
        <f t="shared" si="267"/>
        <v>GD</v>
      </c>
      <c r="AU85" s="331">
        <f t="shared" ref="AU85" ca="1" si="268">COUNTIF(AU86:AU89,"&gt;1")</f>
        <v>0</v>
      </c>
      <c r="AV85" s="192"/>
      <c r="AW85" s="167"/>
      <c r="AX85" s="167"/>
      <c r="AY85" s="207" t="str">
        <f>AL85</f>
        <v>Nation</v>
      </c>
      <c r="AZ85" s="208" t="str">
        <f>+Idiomas!$D$67</f>
        <v>Deducted Points</v>
      </c>
      <c r="BA85" s="176"/>
      <c r="DN85" s="16"/>
    </row>
    <row r="86" spans="1:118" ht="16" customHeight="1" x14ac:dyDescent="0.2">
      <c r="A86" s="16" t="str">
        <f ca="1">+Equipos!B43</f>
        <v>DR Congo</v>
      </c>
      <c r="B86" s="16"/>
      <c r="C86" s="16"/>
      <c r="D86" s="16" t="str">
        <f t="shared" si="253"/>
        <v>Pendiente</v>
      </c>
      <c r="E86" s="16" t="str">
        <f t="shared" si="254"/>
        <v>-</v>
      </c>
      <c r="F86" s="16" t="str">
        <f t="shared" si="255"/>
        <v>-</v>
      </c>
      <c r="G86" s="16"/>
      <c r="H86" s="16" t="str">
        <f t="shared" si="256"/>
        <v>-</v>
      </c>
      <c r="I86" s="16" t="str">
        <f t="shared" si="257"/>
        <v>-</v>
      </c>
      <c r="J86" s="16"/>
      <c r="K86" s="16" t="str">
        <f t="shared" si="258"/>
        <v>-</v>
      </c>
      <c r="L86" s="16" t="str">
        <f t="shared" si="259"/>
        <v>-</v>
      </c>
      <c r="M86" s="16"/>
      <c r="N86" s="16" t="str">
        <f t="shared" si="260"/>
        <v>-</v>
      </c>
      <c r="O86" s="16" t="str">
        <f t="shared" si="261"/>
        <v>-</v>
      </c>
      <c r="P86" s="16"/>
      <c r="Q86" s="16" t="str">
        <f t="shared" si="262"/>
        <v>-</v>
      </c>
      <c r="R86" s="16" t="str">
        <f t="shared" si="263"/>
        <v>-</v>
      </c>
      <c r="S86" s="16"/>
      <c r="T86" s="16" t="str">
        <f t="shared" si="264"/>
        <v>-</v>
      </c>
      <c r="U86" s="16" t="str">
        <f t="shared" si="265"/>
        <v>-</v>
      </c>
      <c r="V86" s="17"/>
      <c r="W86" s="673"/>
      <c r="X86" s="24">
        <f ca="1">Horarios!C86</f>
        <v>46196.541666666664</v>
      </c>
      <c r="Y86" s="25">
        <f ca="1">Horarios!C86</f>
        <v>46196.541666666664</v>
      </c>
      <c r="Z86" s="26" t="str">
        <f>$Z$6</f>
        <v>R2</v>
      </c>
      <c r="AA86" s="27" t="str">
        <f ca="1">A85</f>
        <v>Portugal</v>
      </c>
      <c r="AB86" s="49" t="str" cm="1">
        <f t="array" aca="1" ref="AB86" ca="1">Ver_flag_local</f>
        <v>🇵🇹</v>
      </c>
      <c r="AC86" s="50"/>
      <c r="AD86" s="51"/>
      <c r="AE86" s="595" t="str" cm="1">
        <f t="array" aca="1" ref="AE86" ca="1">Ver_flag_visit</f>
        <v>🇺🇿</v>
      </c>
      <c r="AF86" s="32" t="str">
        <f ca="1">A87</f>
        <v>Uzbekistan</v>
      </c>
      <c r="AG86" s="323">
        <f t="shared" si="266"/>
        <v>0</v>
      </c>
      <c r="AH86" s="195">
        <v>47</v>
      </c>
      <c r="AI86" s="181" t="str">
        <f>AJ86&amp;$B$84</f>
        <v>1K</v>
      </c>
      <c r="AJ86" s="40">
        <v>1</v>
      </c>
      <c r="AK86" s="601" t="str" cm="1">
        <f t="array" aca="1" ref="AK86" ca="1">Ver_flag_visit</f>
        <v>🇵🇹</v>
      </c>
      <c r="AL86" s="34" t="str">
        <f ca="1">IFERROR(INDEX($BD$6:$BD$53,MATCH(AI86,$BN$6:$BN$53,0)),"")</f>
        <v>Portugal</v>
      </c>
      <c r="AM86" s="35">
        <f t="shared" ref="AM86:AT89" ca="1" si="269">INDEX($BE$6:$BN$53,MATCH($AL86,$BD$6:$BD$53,0),MATCH(AM$5,$BE$5:$BN$5,0))</f>
        <v>0</v>
      </c>
      <c r="AN86" s="36">
        <f t="shared" ca="1" si="269"/>
        <v>0</v>
      </c>
      <c r="AO86" s="36">
        <f t="shared" ca="1" si="269"/>
        <v>0</v>
      </c>
      <c r="AP86" s="36">
        <f t="shared" ca="1" si="269"/>
        <v>0</v>
      </c>
      <c r="AQ86" s="36">
        <f t="shared" ca="1" si="269"/>
        <v>0</v>
      </c>
      <c r="AR86" s="36">
        <f t="shared" ca="1" si="269"/>
        <v>0</v>
      </c>
      <c r="AS86" s="36">
        <f t="shared" ca="1" si="269"/>
        <v>0</v>
      </c>
      <c r="AT86" s="41">
        <f t="shared" ca="1" si="269"/>
        <v>0</v>
      </c>
      <c r="AU86" s="330">
        <f ca="1">INDEX($DL$6:$DL$53,MATCH(AI86,$DP$6:$DP$53,0))</f>
        <v>1</v>
      </c>
      <c r="AV86" s="182" t="str">
        <f ca="1">INDEX($BD$6:$BD$53,MATCH(AI86,$BM$6:$BM$53,0))</f>
        <v>Portugal</v>
      </c>
      <c r="AW86" s="210"/>
      <c r="AX86" s="171"/>
      <c r="AY86" s="201" t="str">
        <f ca="1">+A85</f>
        <v>Portugal</v>
      </c>
      <c r="AZ86" s="202"/>
      <c r="BA86" s="176"/>
      <c r="DN86" s="16"/>
    </row>
    <row r="87" spans="1:118" ht="16" customHeight="1" x14ac:dyDescent="0.2">
      <c r="A87" s="16" t="str">
        <f ca="1">+Equipos!B44</f>
        <v>Uzbekistan</v>
      </c>
      <c r="B87" s="16"/>
      <c r="C87" s="16"/>
      <c r="D87" s="16" t="str">
        <f t="shared" si="253"/>
        <v>Pendiente</v>
      </c>
      <c r="E87" s="16" t="str">
        <f t="shared" si="254"/>
        <v>-</v>
      </c>
      <c r="F87" s="16" t="str">
        <f t="shared" si="255"/>
        <v>-</v>
      </c>
      <c r="G87" s="16"/>
      <c r="H87" s="16" t="str">
        <f t="shared" si="256"/>
        <v>-</v>
      </c>
      <c r="I87" s="16" t="str">
        <f t="shared" si="257"/>
        <v>-</v>
      </c>
      <c r="J87" s="16"/>
      <c r="K87" s="16" t="str">
        <f t="shared" si="258"/>
        <v>-</v>
      </c>
      <c r="L87" s="16" t="str">
        <f t="shared" si="259"/>
        <v>-</v>
      </c>
      <c r="M87" s="16"/>
      <c r="N87" s="16" t="str">
        <f t="shared" si="260"/>
        <v>-</v>
      </c>
      <c r="O87" s="16" t="str">
        <f t="shared" si="261"/>
        <v>-</v>
      </c>
      <c r="P87" s="16"/>
      <c r="Q87" s="16" t="str">
        <f t="shared" si="262"/>
        <v>-</v>
      </c>
      <c r="R87" s="16" t="str">
        <f t="shared" si="263"/>
        <v>-</v>
      </c>
      <c r="S87" s="16"/>
      <c r="T87" s="16" t="str">
        <f t="shared" si="264"/>
        <v>-</v>
      </c>
      <c r="U87" s="16" t="str">
        <f t="shared" si="265"/>
        <v>-</v>
      </c>
      <c r="V87" s="17"/>
      <c r="W87" s="673"/>
      <c r="X87" s="24">
        <f ca="1">Horarios!C87</f>
        <v>46196.916666666664</v>
      </c>
      <c r="Y87" s="25">
        <f ca="1">Horarios!C87</f>
        <v>46196.916666666664</v>
      </c>
      <c r="Z87" s="26" t="str">
        <f>$Z$6</f>
        <v>R2</v>
      </c>
      <c r="AA87" s="27" t="str">
        <f ca="1">A88</f>
        <v>Colombia</v>
      </c>
      <c r="AB87" s="49" t="str" cm="1">
        <f t="array" aca="1" ref="AB87" ca="1">Ver_flag_local</f>
        <v>🇨🇴</v>
      </c>
      <c r="AC87" s="50"/>
      <c r="AD87" s="51"/>
      <c r="AE87" s="595" t="str" cm="1">
        <f t="array" aca="1" ref="AE87" ca="1">Ver_flag_visit</f>
        <v>🇨🇩</v>
      </c>
      <c r="AF87" s="32" t="str">
        <f ca="1">A86</f>
        <v>DR Congo</v>
      </c>
      <c r="AG87" s="323">
        <f t="shared" si="266"/>
        <v>0</v>
      </c>
      <c r="AH87" s="195">
        <v>48</v>
      </c>
      <c r="AI87" s="181" t="str">
        <f t="shared" ref="AI87:AI89" si="270">AJ87&amp;$B$84</f>
        <v>2K</v>
      </c>
      <c r="AJ87" s="42">
        <v>2</v>
      </c>
      <c r="AK87" s="602" t="str" cm="1">
        <f t="array" aca="1" ref="AK87" ca="1">Ver_flag_visit</f>
        <v>🇨🇩</v>
      </c>
      <c r="AL87" s="37" t="str">
        <f ca="1">IFERROR(INDEX($BD$6:$BD$53,MATCH(AI87,$BN$6:$BN$53,0)),"")</f>
        <v>DR Congo</v>
      </c>
      <c r="AM87" s="38">
        <f t="shared" ca="1" si="269"/>
        <v>0</v>
      </c>
      <c r="AN87" s="39">
        <f t="shared" ca="1" si="269"/>
        <v>0</v>
      </c>
      <c r="AO87" s="39">
        <f t="shared" ca="1" si="269"/>
        <v>0</v>
      </c>
      <c r="AP87" s="39">
        <f t="shared" ca="1" si="269"/>
        <v>0</v>
      </c>
      <c r="AQ87" s="39">
        <f t="shared" ca="1" si="269"/>
        <v>0</v>
      </c>
      <c r="AR87" s="39">
        <f t="shared" ca="1" si="269"/>
        <v>0</v>
      </c>
      <c r="AS87" s="39">
        <f t="shared" ca="1" si="269"/>
        <v>0</v>
      </c>
      <c r="AT87" s="43">
        <f t="shared" ca="1" si="269"/>
        <v>0</v>
      </c>
      <c r="AU87" s="330">
        <f ca="1">INDEX($DL$6:$DL$53,MATCH(AI87,$DP$6:$DP$53,0))</f>
        <v>1</v>
      </c>
      <c r="AV87" s="182" t="str">
        <f ca="1">INDEX($BD$6:$BD$53,MATCH(AI87,$BM$6:$BM$53,0))</f>
        <v>DR Congo</v>
      </c>
      <c r="AW87" s="210"/>
      <c r="AX87" s="171"/>
      <c r="AY87" s="203" t="str">
        <f ca="1">+A86</f>
        <v>DR Congo</v>
      </c>
      <c r="AZ87" s="204"/>
      <c r="BA87" s="176"/>
      <c r="DN87" s="16"/>
    </row>
    <row r="88" spans="1:118" ht="16" customHeight="1" x14ac:dyDescent="0.2">
      <c r="A88" s="16" t="str">
        <f ca="1">+Equipos!B45</f>
        <v>Colombia</v>
      </c>
      <c r="B88" s="16"/>
      <c r="C88" s="16"/>
      <c r="D88" s="16" t="str">
        <f t="shared" si="253"/>
        <v>Pendiente</v>
      </c>
      <c r="E88" s="16" t="str">
        <f t="shared" si="254"/>
        <v>-</v>
      </c>
      <c r="F88" s="16" t="str">
        <f t="shared" si="255"/>
        <v>-</v>
      </c>
      <c r="G88" s="16"/>
      <c r="H88" s="16" t="str">
        <f t="shared" si="256"/>
        <v>-</v>
      </c>
      <c r="I88" s="16" t="str">
        <f t="shared" si="257"/>
        <v>-</v>
      </c>
      <c r="J88" s="16"/>
      <c r="K88" s="16" t="str">
        <f t="shared" si="258"/>
        <v>-</v>
      </c>
      <c r="L88" s="16" t="str">
        <f t="shared" si="259"/>
        <v>-</v>
      </c>
      <c r="M88" s="16"/>
      <c r="N88" s="16" t="str">
        <f t="shared" si="260"/>
        <v>-</v>
      </c>
      <c r="O88" s="16" t="str">
        <f t="shared" si="261"/>
        <v>-</v>
      </c>
      <c r="P88" s="16"/>
      <c r="Q88" s="16" t="str">
        <f t="shared" si="262"/>
        <v>-</v>
      </c>
      <c r="R88" s="16" t="str">
        <f t="shared" si="263"/>
        <v>-</v>
      </c>
      <c r="S88" s="16"/>
      <c r="T88" s="16" t="str">
        <f t="shared" si="264"/>
        <v>-</v>
      </c>
      <c r="U88" s="16" t="str">
        <f t="shared" si="265"/>
        <v>-</v>
      </c>
      <c r="V88" s="17"/>
      <c r="W88" s="673"/>
      <c r="X88" s="24">
        <f ca="1">Horarios!C88</f>
        <v>46200.8125</v>
      </c>
      <c r="Y88" s="25">
        <f ca="1">Horarios!C88</f>
        <v>46200.8125</v>
      </c>
      <c r="Z88" s="26" t="str">
        <f>$Z$8</f>
        <v>R3</v>
      </c>
      <c r="AA88" s="27" t="str">
        <f ca="1">A88</f>
        <v>Colombia</v>
      </c>
      <c r="AB88" s="49" t="str" cm="1">
        <f t="array" aca="1" ref="AB88" ca="1">Ver_flag_local</f>
        <v>🇨🇴</v>
      </c>
      <c r="AC88" s="50"/>
      <c r="AD88" s="51"/>
      <c r="AE88" s="595" t="str" cm="1">
        <f t="array" aca="1" ref="AE88" ca="1">Ver_flag_visit</f>
        <v>🇵🇹</v>
      </c>
      <c r="AF88" s="32" t="str">
        <f ca="1">A85</f>
        <v>Portugal</v>
      </c>
      <c r="AG88" s="323">
        <f t="shared" si="266"/>
        <v>0</v>
      </c>
      <c r="AH88" s="195">
        <v>71</v>
      </c>
      <c r="AI88" s="181" t="str">
        <f t="shared" si="270"/>
        <v>3K</v>
      </c>
      <c r="AJ88" s="42">
        <v>3</v>
      </c>
      <c r="AK88" s="602" t="str" cm="1">
        <f t="array" aca="1" ref="AK88" ca="1">Ver_flag_visit</f>
        <v>🇺🇿</v>
      </c>
      <c r="AL88" s="37" t="str">
        <f ca="1">IFERROR(INDEX($BD$6:$BD$53,MATCH(AI88,$BN$6:$BN$53,0)),"")</f>
        <v>Uzbekistan</v>
      </c>
      <c r="AM88" s="38">
        <f t="shared" ca="1" si="269"/>
        <v>0</v>
      </c>
      <c r="AN88" s="39">
        <f t="shared" ca="1" si="269"/>
        <v>0</v>
      </c>
      <c r="AO88" s="39">
        <f t="shared" ca="1" si="269"/>
        <v>0</v>
      </c>
      <c r="AP88" s="39">
        <f t="shared" ca="1" si="269"/>
        <v>0</v>
      </c>
      <c r="AQ88" s="39">
        <f t="shared" ca="1" si="269"/>
        <v>0</v>
      </c>
      <c r="AR88" s="39">
        <f t="shared" ca="1" si="269"/>
        <v>0</v>
      </c>
      <c r="AS88" s="39">
        <f t="shared" ca="1" si="269"/>
        <v>0</v>
      </c>
      <c r="AT88" s="43">
        <f t="shared" ca="1" si="269"/>
        <v>0</v>
      </c>
      <c r="AU88" s="330">
        <f ca="1">INDEX($DL$6:$DL$53,MATCH(AI88,$DP$6:$DP$53,0))</f>
        <v>1</v>
      </c>
      <c r="AV88" s="182" t="str">
        <f ca="1">INDEX($BD$6:$BD$53,MATCH(AI88,$BM$6:$BM$53,0))</f>
        <v>Uzbekistan</v>
      </c>
      <c r="AW88" s="210"/>
      <c r="AX88" s="171"/>
      <c r="AY88" s="201" t="str">
        <f ca="1">+A87</f>
        <v>Uzbekistan</v>
      </c>
      <c r="AZ88" s="202"/>
      <c r="BA88" s="176"/>
    </row>
    <row r="89" spans="1:118" ht="16" customHeight="1" thickBot="1" x14ac:dyDescent="0.25">
      <c r="A89" s="16"/>
      <c r="B89" s="16"/>
      <c r="C89" s="16"/>
      <c r="D89" s="16" t="str">
        <f t="shared" si="253"/>
        <v>Pendiente</v>
      </c>
      <c r="E89" s="16" t="str">
        <f t="shared" si="254"/>
        <v>-</v>
      </c>
      <c r="F89" s="16" t="str">
        <f t="shared" si="255"/>
        <v>-</v>
      </c>
      <c r="G89" s="16"/>
      <c r="H89" s="16" t="str">
        <f t="shared" si="256"/>
        <v>-</v>
      </c>
      <c r="I89" s="16" t="str">
        <f t="shared" si="257"/>
        <v>-</v>
      </c>
      <c r="J89" s="16"/>
      <c r="K89" s="16" t="str">
        <f t="shared" si="258"/>
        <v>-</v>
      </c>
      <c r="L89" s="16" t="str">
        <f t="shared" si="259"/>
        <v>-</v>
      </c>
      <c r="M89" s="16"/>
      <c r="N89" s="16" t="str">
        <f t="shared" si="260"/>
        <v>-</v>
      </c>
      <c r="O89" s="16" t="str">
        <f t="shared" si="261"/>
        <v>-</v>
      </c>
      <c r="P89" s="16"/>
      <c r="Q89" s="16" t="str">
        <f t="shared" si="262"/>
        <v>-</v>
      </c>
      <c r="R89" s="16" t="str">
        <f t="shared" si="263"/>
        <v>-</v>
      </c>
      <c r="S89" s="16"/>
      <c r="T89" s="16" t="str">
        <f t="shared" si="264"/>
        <v>-</v>
      </c>
      <c r="U89" s="16" t="str">
        <f t="shared" si="265"/>
        <v>-</v>
      </c>
      <c r="V89" s="17"/>
      <c r="W89" s="674"/>
      <c r="X89" s="28">
        <f ca="1">Horarios!C89</f>
        <v>46200.8125</v>
      </c>
      <c r="Y89" s="29">
        <f ca="1">Horarios!C89</f>
        <v>46200.8125</v>
      </c>
      <c r="Z89" s="30" t="str">
        <f>$Z$8</f>
        <v>R3</v>
      </c>
      <c r="AA89" s="31" t="str">
        <f ca="1">A86</f>
        <v>DR Congo</v>
      </c>
      <c r="AB89" s="52" t="str" cm="1">
        <f t="array" aca="1" ref="AB89" ca="1">Ver_flag_local</f>
        <v>🇨🇩</v>
      </c>
      <c r="AC89" s="53"/>
      <c r="AD89" s="54"/>
      <c r="AE89" s="596" t="str" cm="1">
        <f t="array" aca="1" ref="AE89" ca="1">Ver_flag_visit</f>
        <v>🇺🇿</v>
      </c>
      <c r="AF89" s="33" t="str">
        <f ca="1">A87</f>
        <v>Uzbekistan</v>
      </c>
      <c r="AG89" s="323">
        <f t="shared" si="266"/>
        <v>0</v>
      </c>
      <c r="AH89" s="195">
        <v>72</v>
      </c>
      <c r="AI89" s="181" t="str">
        <f t="shared" si="270"/>
        <v>4K</v>
      </c>
      <c r="AJ89" s="44">
        <v>4</v>
      </c>
      <c r="AK89" s="604" t="str" cm="1">
        <f t="array" aca="1" ref="AK89" ca="1">Ver_flag_visit</f>
        <v>🇨🇴</v>
      </c>
      <c r="AL89" s="45" t="str">
        <f ca="1">IFERROR(INDEX($BD$6:$BD$53,MATCH(AI89,$BN$6:$BN$53,0)),"")</f>
        <v>Colombia</v>
      </c>
      <c r="AM89" s="46">
        <f t="shared" ca="1" si="269"/>
        <v>0</v>
      </c>
      <c r="AN89" s="47">
        <f t="shared" ca="1" si="269"/>
        <v>0</v>
      </c>
      <c r="AO89" s="47">
        <f t="shared" ca="1" si="269"/>
        <v>0</v>
      </c>
      <c r="AP89" s="47">
        <f t="shared" ca="1" si="269"/>
        <v>0</v>
      </c>
      <c r="AQ89" s="47">
        <f t="shared" ca="1" si="269"/>
        <v>0</v>
      </c>
      <c r="AR89" s="47">
        <f t="shared" ca="1" si="269"/>
        <v>0</v>
      </c>
      <c r="AS89" s="47">
        <f t="shared" ca="1" si="269"/>
        <v>0</v>
      </c>
      <c r="AT89" s="48">
        <f t="shared" ca="1" si="269"/>
        <v>0</v>
      </c>
      <c r="AU89" s="330">
        <f ca="1">INDEX($DL$6:$DL$53,MATCH(AI89,$DP$6:$DP$53,0))</f>
        <v>1</v>
      </c>
      <c r="AV89" s="182" t="str">
        <f ca="1">INDEX($BD$6:$BD$53,MATCH(AI89,$BM$6:$BM$53,0))</f>
        <v>Colombia</v>
      </c>
      <c r="AW89" s="210"/>
      <c r="AX89" s="171"/>
      <c r="AY89" s="205" t="str">
        <f ca="1">+A88</f>
        <v>Colombia</v>
      </c>
      <c r="AZ89" s="206"/>
      <c r="BA89" s="176"/>
    </row>
    <row r="90" spans="1:118" ht="16" customHeight="1" thickBot="1" x14ac:dyDescent="0.25">
      <c r="A90" s="16"/>
      <c r="B90" s="16"/>
      <c r="C90" s="16"/>
      <c r="D90" s="16"/>
      <c r="E90" s="16"/>
      <c r="F90" s="16"/>
      <c r="G90" s="16"/>
      <c r="H90" s="16"/>
      <c r="I90" s="16"/>
      <c r="J90" s="16"/>
      <c r="K90" s="16"/>
      <c r="L90" s="16"/>
      <c r="M90" s="16"/>
      <c r="N90" s="16"/>
      <c r="O90" s="16"/>
      <c r="P90" s="16"/>
      <c r="Q90" s="16"/>
      <c r="R90" s="16"/>
      <c r="S90" s="16"/>
      <c r="T90" s="16"/>
      <c r="U90" s="16"/>
      <c r="V90" s="17"/>
      <c r="W90" s="154"/>
      <c r="X90" s="155"/>
      <c r="Y90" s="154"/>
      <c r="Z90" s="156"/>
      <c r="AA90" s="157"/>
      <c r="AB90" s="158"/>
      <c r="AC90" s="151"/>
      <c r="AD90" s="151"/>
      <c r="AE90" s="158"/>
      <c r="AF90" s="159"/>
      <c r="AG90" s="325"/>
      <c r="AH90" s="195"/>
      <c r="AI90" s="180"/>
      <c r="AJ90" s="160"/>
      <c r="AK90" s="161"/>
      <c r="AL90" s="162"/>
      <c r="AM90" s="163"/>
      <c r="AN90" s="160"/>
      <c r="AO90" s="160"/>
      <c r="AP90" s="160"/>
      <c r="AQ90" s="160"/>
      <c r="AR90" s="160"/>
      <c r="AS90" s="160"/>
      <c r="AT90" s="160"/>
      <c r="AU90" s="330"/>
      <c r="AV90" s="189"/>
      <c r="AW90" s="211"/>
      <c r="AX90" s="171"/>
      <c r="AY90" s="154"/>
      <c r="AZ90" s="155"/>
      <c r="BA90" s="176"/>
    </row>
    <row r="91" spans="1:118" ht="16" customHeight="1" thickBot="1" x14ac:dyDescent="0.25">
      <c r="A91" s="16"/>
      <c r="B91" s="16"/>
      <c r="C91" s="16"/>
      <c r="D91" s="16"/>
      <c r="E91" s="16"/>
      <c r="F91" s="16"/>
      <c r="G91" s="16"/>
      <c r="H91" s="16"/>
      <c r="I91" s="16"/>
      <c r="J91" s="16"/>
      <c r="K91" s="16"/>
      <c r="L91" s="16"/>
      <c r="M91" s="16"/>
      <c r="N91" s="16"/>
      <c r="O91" s="16"/>
      <c r="P91" s="16"/>
      <c r="Q91" s="16"/>
      <c r="R91" s="16"/>
      <c r="S91" s="16"/>
      <c r="T91" s="16"/>
      <c r="U91" s="16"/>
      <c r="V91" s="17"/>
      <c r="W91" s="8"/>
      <c r="X91" s="69" t="str">
        <f>X3</f>
        <v>Date</v>
      </c>
      <c r="Y91" s="69" t="str">
        <f>Y3</f>
        <v>Hour</v>
      </c>
      <c r="Z91" s="67" t="str">
        <f>Z3</f>
        <v>R</v>
      </c>
      <c r="AA91" s="68" t="str">
        <f>AA3</f>
        <v>Home</v>
      </c>
      <c r="AB91" s="67"/>
      <c r="AC91" s="69" t="str">
        <f>AC3</f>
        <v>Goal</v>
      </c>
      <c r="AD91" s="69" t="str">
        <f>AD3</f>
        <v>Goal</v>
      </c>
      <c r="AE91" s="67"/>
      <c r="AF91" s="70" t="str">
        <f>AF3</f>
        <v>Away</v>
      </c>
      <c r="AG91" s="324"/>
      <c r="AH91" s="195"/>
      <c r="AI91" s="179"/>
      <c r="AJ91" s="162"/>
      <c r="AK91" s="600"/>
      <c r="AL91" s="162"/>
      <c r="AM91" s="162"/>
      <c r="AN91" s="162"/>
      <c r="AO91" s="162"/>
      <c r="AP91" s="162"/>
      <c r="AQ91" s="162"/>
      <c r="AR91" s="162"/>
      <c r="AS91" s="162"/>
      <c r="AT91" s="162"/>
      <c r="AU91" s="331"/>
      <c r="AV91" s="188"/>
      <c r="AW91" s="212"/>
      <c r="AX91" s="172"/>
      <c r="AY91" s="154"/>
      <c r="AZ91" s="155"/>
      <c r="BA91" s="176"/>
    </row>
    <row r="92" spans="1:118" ht="16" customHeight="1" thickBot="1" x14ac:dyDescent="0.25">
      <c r="A92" s="16" t="s">
        <v>32</v>
      </c>
      <c r="B92" s="16" t="s">
        <v>247</v>
      </c>
      <c r="C92" s="16">
        <f>COUNTIF(Equipos!$C$2:$C$49,WORLDCUP!B92)</f>
        <v>4</v>
      </c>
      <c r="D92" s="16" t="str">
        <f t="shared" ref="D92:D97" si="271">IF(OR(AC92="",AD92=""),"Pendiente",IF(AC92&gt;AD92,"Local",IF(AC92&lt;AD92,"Visitante","Empate")))</f>
        <v>Pendiente</v>
      </c>
      <c r="E92" s="16" t="str">
        <f t="shared" ref="E92:E97" si="272">IF(D92="Pendiente","-",INDEX($BT$6:$BT$53,MATCH($AA92,$BD$6:$BD$53,0)))</f>
        <v>-</v>
      </c>
      <c r="F92" s="16" t="str">
        <f t="shared" ref="F92:F97" si="273">IF(D92="Pendiente","-",INDEX($BT$6:$BT$53,MATCH($AF92,$BD$6:$BD$53,0)))</f>
        <v>-</v>
      </c>
      <c r="G92" s="16"/>
      <c r="H92" s="16" t="str">
        <f t="shared" ref="H92:H97" si="274">IF(D92="Pendiente","-",INDEX($BZ$6:$BZ$53,MATCH($AA92,$BD$6:$BD$53,0)))</f>
        <v>-</v>
      </c>
      <c r="I92" s="16" t="str">
        <f t="shared" ref="I92:I97" si="275">IF(D92="Pendiente","-",INDEX($BZ$6:$BZ$53,MATCH($AF92,$BD$6:$BD$53,0)))</f>
        <v>-</v>
      </c>
      <c r="J92" s="16"/>
      <c r="K92" s="16" t="str">
        <f t="shared" ref="K92:K97" si="276">IF(D92="Pendiente","-",INDEX($CE$6:$CE$53,MATCH($AA92,$BD$6:$BD$53,0)))</f>
        <v>-</v>
      </c>
      <c r="L92" s="16" t="str">
        <f t="shared" ref="L92:L97" si="277">IF(D92="Pendiente","-",INDEX($CE$6:$CE$53,MATCH($AF92,$BD$6:$BD$53,0)))</f>
        <v>-</v>
      </c>
      <c r="M92" s="16"/>
      <c r="N92" s="16" t="str">
        <f t="shared" ref="N92:N97" si="278">IF(D92="Pendiente","-",INDEX($CH$6:$CH$53,MATCH($AA92,$BD$6:$BD$53,0)))</f>
        <v>-</v>
      </c>
      <c r="O92" s="16" t="str">
        <f t="shared" ref="O92:O97" si="279">IF(D92="Pendiente","-",INDEX($CH$6:$CH$53,MATCH($AF92,$BD$6:$BD$53,0)))</f>
        <v>-</v>
      </c>
      <c r="P92" s="16"/>
      <c r="Q92" s="16" t="str">
        <f t="shared" ref="Q92:Q97" si="280">IF(D92="Pendiente","-",INDEX($CN$6:$CN$53,MATCH($AA92,$BD$6:$BD$53,0)))</f>
        <v>-</v>
      </c>
      <c r="R92" s="16" t="str">
        <f t="shared" ref="R92:R97" si="281">IF(D92="Pendiente","-",INDEX($CN$6:$CN$53,MATCH($AF92,$BD$6:$BD$53,0)))</f>
        <v>-</v>
      </c>
      <c r="S92" s="16"/>
      <c r="T92" s="16" t="str">
        <f t="shared" ref="T92:T97" si="282">IF(D92="Pendiente","-",INDEX($CS$6:$CS$53,MATCH($AA92,$BD$6:$BD$53,0)))</f>
        <v>-</v>
      </c>
      <c r="U92" s="16" t="str">
        <f t="shared" ref="U92:U97" si="283">IF(D92="Pendiente","-",INDEX($CS$6:$CS$53,MATCH($AF92,$BD$6:$BD$53,0)))</f>
        <v>-</v>
      </c>
      <c r="V92" s="17"/>
      <c r="W92" s="669" t="s">
        <v>247</v>
      </c>
      <c r="X92" s="24">
        <f ca="1">Horarios!C92</f>
        <v>46190.666666666664</v>
      </c>
      <c r="Y92" s="25">
        <f ca="1">Horarios!C92</f>
        <v>46190.666666666664</v>
      </c>
      <c r="Z92" s="26" t="str">
        <f>$Z$4</f>
        <v>R1</v>
      </c>
      <c r="AA92" s="27" t="str">
        <f ca="1">A93</f>
        <v>England</v>
      </c>
      <c r="AB92" s="49" t="str" cm="1">
        <f t="array" aca="1" ref="AB92" ca="1">Ver_flag_local</f>
        <v>🏴󠁧󠁢󠁥󠁮󠁧󠁿</v>
      </c>
      <c r="AC92" s="50"/>
      <c r="AD92" s="51"/>
      <c r="AE92" s="595" t="str" cm="1">
        <f t="array" aca="1" ref="AE92" ca="1">Ver_flag_visit</f>
        <v>🇭🇷</v>
      </c>
      <c r="AF92" s="32" t="str">
        <f ca="1">A94</f>
        <v>Croatia</v>
      </c>
      <c r="AG92" s="323">
        <f t="shared" ref="AG92:AG97" si="284">IF(NOT(OR(ISBLANK(AC92),ISBLANK(AD92))),1,0)</f>
        <v>0</v>
      </c>
      <c r="AH92" s="195">
        <v>22</v>
      </c>
      <c r="AI92" s="181"/>
      <c r="AJ92" s="59" t="str">
        <f>CONCATENATE(AJ3," ",B92)</f>
        <v>Group L</v>
      </c>
      <c r="AK92" s="60"/>
      <c r="AL92" s="60"/>
      <c r="AM92" s="60"/>
      <c r="AN92" s="60"/>
      <c r="AO92" s="60"/>
      <c r="AP92" s="60"/>
      <c r="AQ92" s="60"/>
      <c r="AR92" s="60"/>
      <c r="AS92" s="60"/>
      <c r="AT92" s="61"/>
      <c r="AU92" s="331"/>
      <c r="AV92" s="286" t="str">
        <f ca="1">IF(AU93&gt;0,$AV$3,"")</f>
        <v/>
      </c>
      <c r="AW92" s="167"/>
      <c r="AX92" s="167"/>
      <c r="AY92" s="154"/>
      <c r="AZ92" s="155"/>
      <c r="BA92" s="176"/>
    </row>
    <row r="93" spans="1:118" ht="16" customHeight="1" x14ac:dyDescent="0.2">
      <c r="A93" s="16" t="str">
        <f ca="1">+Equipos!B46</f>
        <v>England</v>
      </c>
      <c r="B93" s="16"/>
      <c r="C93" s="16"/>
      <c r="D93" s="16" t="str">
        <f t="shared" si="271"/>
        <v>Pendiente</v>
      </c>
      <c r="E93" s="16" t="str">
        <f t="shared" si="272"/>
        <v>-</v>
      </c>
      <c r="F93" s="16" t="str">
        <f t="shared" si="273"/>
        <v>-</v>
      </c>
      <c r="G93" s="16"/>
      <c r="H93" s="16" t="str">
        <f t="shared" si="274"/>
        <v>-</v>
      </c>
      <c r="I93" s="16" t="str">
        <f t="shared" si="275"/>
        <v>-</v>
      </c>
      <c r="J93" s="16"/>
      <c r="K93" s="16" t="str">
        <f t="shared" si="276"/>
        <v>-</v>
      </c>
      <c r="L93" s="16" t="str">
        <f t="shared" si="277"/>
        <v>-</v>
      </c>
      <c r="M93" s="16"/>
      <c r="N93" s="16" t="str">
        <f t="shared" si="278"/>
        <v>-</v>
      </c>
      <c r="O93" s="16" t="str">
        <f t="shared" si="279"/>
        <v>-</v>
      </c>
      <c r="P93" s="16"/>
      <c r="Q93" s="16" t="str">
        <f t="shared" si="280"/>
        <v>-</v>
      </c>
      <c r="R93" s="16" t="str">
        <f t="shared" si="281"/>
        <v>-</v>
      </c>
      <c r="S93" s="16"/>
      <c r="T93" s="16" t="str">
        <f t="shared" si="282"/>
        <v>-</v>
      </c>
      <c r="U93" s="16" t="str">
        <f t="shared" si="283"/>
        <v>-</v>
      </c>
      <c r="V93" s="17"/>
      <c r="W93" s="669"/>
      <c r="X93" s="24">
        <f ca="1">Horarios!C93</f>
        <v>46190.791666666664</v>
      </c>
      <c r="Y93" s="25">
        <f ca="1">Horarios!C93</f>
        <v>46190.791666666664</v>
      </c>
      <c r="Z93" s="26" t="str">
        <f>$Z$4</f>
        <v>R1</v>
      </c>
      <c r="AA93" s="27" t="str">
        <f ca="1">A95</f>
        <v>Ghana</v>
      </c>
      <c r="AB93" s="49" t="str" cm="1">
        <f t="array" aca="1" ref="AB93" ca="1">Ver_flag_local</f>
        <v>🇬🇭</v>
      </c>
      <c r="AC93" s="50"/>
      <c r="AD93" s="51"/>
      <c r="AE93" s="595" t="str" cm="1">
        <f t="array" aca="1" ref="AE93" ca="1">Ver_flag_visit</f>
        <v>🇵🇦</v>
      </c>
      <c r="AF93" s="32" t="str">
        <f ca="1">A96</f>
        <v>Panama</v>
      </c>
      <c r="AG93" s="323">
        <f t="shared" si="284"/>
        <v>0</v>
      </c>
      <c r="AH93" s="195">
        <v>21</v>
      </c>
      <c r="AI93" s="181"/>
      <c r="AJ93" s="62" t="str">
        <f>AJ5</f>
        <v>Pos</v>
      </c>
      <c r="AK93" s="63"/>
      <c r="AL93" s="64" t="str">
        <f t="shared" ref="AL93:AT93" si="285">AL5</f>
        <v>Nation</v>
      </c>
      <c r="AM93" s="63" t="str">
        <f t="shared" si="285"/>
        <v>Pts</v>
      </c>
      <c r="AN93" s="63" t="str">
        <f t="shared" si="285"/>
        <v>P</v>
      </c>
      <c r="AO93" s="63" t="str">
        <f t="shared" si="285"/>
        <v>W</v>
      </c>
      <c r="AP93" s="63" t="str">
        <f t="shared" si="285"/>
        <v>D</v>
      </c>
      <c r="AQ93" s="63" t="str">
        <f t="shared" si="285"/>
        <v>L</v>
      </c>
      <c r="AR93" s="63" t="str">
        <f t="shared" si="285"/>
        <v>F</v>
      </c>
      <c r="AS93" s="63" t="str">
        <f t="shared" si="285"/>
        <v>A</v>
      </c>
      <c r="AT93" s="65" t="str">
        <f t="shared" si="285"/>
        <v>GD</v>
      </c>
      <c r="AU93" s="331">
        <f t="shared" ref="AU93" ca="1" si="286">COUNTIF(AU94:AU97,"&gt;1")</f>
        <v>0</v>
      </c>
      <c r="AV93" s="192"/>
      <c r="AW93" s="167"/>
      <c r="AX93" s="167"/>
      <c r="AY93" s="207" t="str">
        <f>AL93</f>
        <v>Nation</v>
      </c>
      <c r="AZ93" s="208" t="str">
        <f>+Idiomas!$D$67</f>
        <v>Deducted Points</v>
      </c>
      <c r="BA93" s="176"/>
    </row>
    <row r="94" spans="1:118" ht="16" customHeight="1" x14ac:dyDescent="0.2">
      <c r="A94" s="16" t="str">
        <f ca="1">+Equipos!B47</f>
        <v>Croatia</v>
      </c>
      <c r="B94" s="16"/>
      <c r="C94" s="16"/>
      <c r="D94" s="16" t="str">
        <f t="shared" si="271"/>
        <v>Pendiente</v>
      </c>
      <c r="E94" s="16" t="str">
        <f t="shared" si="272"/>
        <v>-</v>
      </c>
      <c r="F94" s="16" t="str">
        <f t="shared" si="273"/>
        <v>-</v>
      </c>
      <c r="G94" s="16"/>
      <c r="H94" s="16" t="str">
        <f t="shared" si="274"/>
        <v>-</v>
      </c>
      <c r="I94" s="16" t="str">
        <f t="shared" si="275"/>
        <v>-</v>
      </c>
      <c r="J94" s="16"/>
      <c r="K94" s="16" t="str">
        <f t="shared" si="276"/>
        <v>-</v>
      </c>
      <c r="L94" s="16" t="str">
        <f t="shared" si="277"/>
        <v>-</v>
      </c>
      <c r="M94" s="16"/>
      <c r="N94" s="16" t="str">
        <f t="shared" si="278"/>
        <v>-</v>
      </c>
      <c r="O94" s="16" t="str">
        <f t="shared" si="279"/>
        <v>-</v>
      </c>
      <c r="P94" s="16"/>
      <c r="Q94" s="16" t="str">
        <f t="shared" si="280"/>
        <v>-</v>
      </c>
      <c r="R94" s="16" t="str">
        <f t="shared" si="281"/>
        <v>-</v>
      </c>
      <c r="S94" s="16"/>
      <c r="T94" s="16" t="str">
        <f t="shared" si="282"/>
        <v>-</v>
      </c>
      <c r="U94" s="16" t="str">
        <f t="shared" si="283"/>
        <v>-</v>
      </c>
      <c r="V94" s="17"/>
      <c r="W94" s="669"/>
      <c r="X94" s="24">
        <f ca="1">Horarios!C94</f>
        <v>46196.666666666664</v>
      </c>
      <c r="Y94" s="25">
        <f ca="1">Horarios!C94</f>
        <v>46196.666666666664</v>
      </c>
      <c r="Z94" s="26" t="str">
        <f>$Z$6</f>
        <v>R2</v>
      </c>
      <c r="AA94" s="27" t="str">
        <f ca="1">A93</f>
        <v>England</v>
      </c>
      <c r="AB94" s="49" t="str" cm="1">
        <f t="array" aca="1" ref="AB94" ca="1">Ver_flag_local</f>
        <v>🏴󠁧󠁢󠁥󠁮󠁧󠁿</v>
      </c>
      <c r="AC94" s="50"/>
      <c r="AD94" s="51"/>
      <c r="AE94" s="595" t="str" cm="1">
        <f t="array" aca="1" ref="AE94" ca="1">Ver_flag_visit</f>
        <v>🇬🇭</v>
      </c>
      <c r="AF94" s="32" t="str">
        <f ca="1">A95</f>
        <v>Ghana</v>
      </c>
      <c r="AG94" s="323">
        <f t="shared" si="284"/>
        <v>0</v>
      </c>
      <c r="AH94" s="195">
        <v>45</v>
      </c>
      <c r="AI94" s="181" t="str">
        <f>AJ94&amp;$B$92</f>
        <v>1L</v>
      </c>
      <c r="AJ94" s="40">
        <v>1</v>
      </c>
      <c r="AK94" s="601" t="str" cm="1">
        <f t="array" aca="1" ref="AK94" ca="1">Ver_flag_visit</f>
        <v>🏴󠁧󠁢󠁥󠁮󠁧󠁿</v>
      </c>
      <c r="AL94" s="34" t="str">
        <f ca="1">IFERROR(INDEX($BD$6:$BD$53,MATCH(AI94,$BN$6:$BN$53,0)),"")</f>
        <v>England</v>
      </c>
      <c r="AM94" s="35">
        <f t="shared" ref="AM94:AT97" ca="1" si="287">INDEX($BE$6:$BN$53,MATCH($AL94,$BD$6:$BD$53,0),MATCH(AM$5,$BE$5:$BN$5,0))</f>
        <v>0</v>
      </c>
      <c r="AN94" s="36">
        <f t="shared" ca="1" si="287"/>
        <v>0</v>
      </c>
      <c r="AO94" s="36">
        <f t="shared" ca="1" si="287"/>
        <v>0</v>
      </c>
      <c r="AP94" s="36">
        <f t="shared" ca="1" si="287"/>
        <v>0</v>
      </c>
      <c r="AQ94" s="36">
        <f t="shared" ca="1" si="287"/>
        <v>0</v>
      </c>
      <c r="AR94" s="36">
        <f t="shared" ca="1" si="287"/>
        <v>0</v>
      </c>
      <c r="AS94" s="36">
        <f t="shared" ca="1" si="287"/>
        <v>0</v>
      </c>
      <c r="AT94" s="41">
        <f t="shared" ca="1" si="287"/>
        <v>0</v>
      </c>
      <c r="AU94" s="330">
        <f ca="1">INDEX($DL$6:$DL$53,MATCH(AI94,$DP$6:$DP$53,0))</f>
        <v>1</v>
      </c>
      <c r="AV94" s="182" t="str">
        <f ca="1">INDEX($BD$6:$BD$53,MATCH(AI94,$BM$6:$BM$53,0))</f>
        <v>England</v>
      </c>
      <c r="AW94" s="210"/>
      <c r="AX94" s="171"/>
      <c r="AY94" s="201" t="str">
        <f ca="1">+A93</f>
        <v>England</v>
      </c>
      <c r="AZ94" s="202"/>
      <c r="BA94" s="176"/>
    </row>
    <row r="95" spans="1:118" ht="16" customHeight="1" x14ac:dyDescent="0.2">
      <c r="A95" s="16" t="str">
        <f ca="1">+Equipos!B48</f>
        <v>Ghana</v>
      </c>
      <c r="B95" s="16"/>
      <c r="C95" s="16"/>
      <c r="D95" s="16" t="str">
        <f t="shared" si="271"/>
        <v>Pendiente</v>
      </c>
      <c r="E95" s="16" t="str">
        <f t="shared" si="272"/>
        <v>-</v>
      </c>
      <c r="F95" s="16" t="str">
        <f t="shared" si="273"/>
        <v>-</v>
      </c>
      <c r="G95" s="16"/>
      <c r="H95" s="16" t="str">
        <f t="shared" si="274"/>
        <v>-</v>
      </c>
      <c r="I95" s="16" t="str">
        <f t="shared" si="275"/>
        <v>-</v>
      </c>
      <c r="J95" s="16"/>
      <c r="K95" s="16" t="str">
        <f t="shared" si="276"/>
        <v>-</v>
      </c>
      <c r="L95" s="16" t="str">
        <f t="shared" si="277"/>
        <v>-</v>
      </c>
      <c r="M95" s="16"/>
      <c r="N95" s="16" t="str">
        <f t="shared" si="278"/>
        <v>-</v>
      </c>
      <c r="O95" s="16" t="str">
        <f t="shared" si="279"/>
        <v>-</v>
      </c>
      <c r="P95" s="16"/>
      <c r="Q95" s="16" t="str">
        <f t="shared" si="280"/>
        <v>-</v>
      </c>
      <c r="R95" s="16" t="str">
        <f t="shared" si="281"/>
        <v>-</v>
      </c>
      <c r="S95" s="16"/>
      <c r="T95" s="16" t="str">
        <f t="shared" si="282"/>
        <v>-</v>
      </c>
      <c r="U95" s="16" t="str">
        <f t="shared" si="283"/>
        <v>-</v>
      </c>
      <c r="V95" s="17"/>
      <c r="W95" s="669"/>
      <c r="X95" s="24">
        <f ca="1">Horarios!C95</f>
        <v>46196.791666666664</v>
      </c>
      <c r="Y95" s="25">
        <f ca="1">Horarios!C95</f>
        <v>46196.791666666664</v>
      </c>
      <c r="Z95" s="26" t="str">
        <f>$Z$6</f>
        <v>R2</v>
      </c>
      <c r="AA95" s="27" t="str">
        <f ca="1">A96</f>
        <v>Panama</v>
      </c>
      <c r="AB95" s="49" t="str" cm="1">
        <f t="array" aca="1" ref="AB95" ca="1">Ver_flag_local</f>
        <v>🇵🇦</v>
      </c>
      <c r="AC95" s="50"/>
      <c r="AD95" s="51"/>
      <c r="AE95" s="595" t="str" cm="1">
        <f t="array" aca="1" ref="AE95" ca="1">Ver_flag_visit</f>
        <v>🇭🇷</v>
      </c>
      <c r="AF95" s="32" t="str">
        <f ca="1">A94</f>
        <v>Croatia</v>
      </c>
      <c r="AG95" s="323">
        <f t="shared" si="284"/>
        <v>0</v>
      </c>
      <c r="AH95" s="195">
        <v>46</v>
      </c>
      <c r="AI95" s="181" t="str">
        <f t="shared" ref="AI95:AI97" si="288">AJ95&amp;$B$92</f>
        <v>2L</v>
      </c>
      <c r="AJ95" s="42">
        <v>2</v>
      </c>
      <c r="AK95" s="602" t="str" cm="1">
        <f t="array" aca="1" ref="AK95" ca="1">Ver_flag_visit</f>
        <v>🇭🇷</v>
      </c>
      <c r="AL95" s="37" t="str">
        <f ca="1">IFERROR(INDEX($BD$6:$BD$53,MATCH(AI95,$BN$6:$BN$53,0)),"")</f>
        <v>Croatia</v>
      </c>
      <c r="AM95" s="38">
        <f t="shared" ca="1" si="287"/>
        <v>0</v>
      </c>
      <c r="AN95" s="39">
        <f t="shared" ca="1" si="287"/>
        <v>0</v>
      </c>
      <c r="AO95" s="39">
        <f t="shared" ca="1" si="287"/>
        <v>0</v>
      </c>
      <c r="AP95" s="39">
        <f t="shared" ca="1" si="287"/>
        <v>0</v>
      </c>
      <c r="AQ95" s="39">
        <f t="shared" ca="1" si="287"/>
        <v>0</v>
      </c>
      <c r="AR95" s="39">
        <f t="shared" ca="1" si="287"/>
        <v>0</v>
      </c>
      <c r="AS95" s="39">
        <f t="shared" ca="1" si="287"/>
        <v>0</v>
      </c>
      <c r="AT95" s="43">
        <f t="shared" ca="1" si="287"/>
        <v>0</v>
      </c>
      <c r="AU95" s="330">
        <f ca="1">INDEX($DL$6:$DL$53,MATCH(AI95,$DP$6:$DP$53,0))</f>
        <v>1</v>
      </c>
      <c r="AV95" s="182" t="str">
        <f ca="1">INDEX($BD$6:$BD$53,MATCH(AI95,$BM$6:$BM$53,0))</f>
        <v>Croatia</v>
      </c>
      <c r="AW95" s="210"/>
      <c r="AX95" s="171"/>
      <c r="AY95" s="203" t="str">
        <f ca="1">+A94</f>
        <v>Croatia</v>
      </c>
      <c r="AZ95" s="204"/>
      <c r="BA95" s="176"/>
    </row>
    <row r="96" spans="1:118" ht="16" customHeight="1" x14ac:dyDescent="0.2">
      <c r="A96" s="16" t="str">
        <f ca="1">+Equipos!B49</f>
        <v>Panama</v>
      </c>
      <c r="B96" s="16"/>
      <c r="C96" s="16"/>
      <c r="D96" s="16" t="str">
        <f t="shared" si="271"/>
        <v>Pendiente</v>
      </c>
      <c r="E96" s="16" t="str">
        <f t="shared" si="272"/>
        <v>-</v>
      </c>
      <c r="F96" s="16" t="str">
        <f t="shared" si="273"/>
        <v>-</v>
      </c>
      <c r="G96" s="16"/>
      <c r="H96" s="16" t="str">
        <f t="shared" si="274"/>
        <v>-</v>
      </c>
      <c r="I96" s="16" t="str">
        <f t="shared" si="275"/>
        <v>-</v>
      </c>
      <c r="J96" s="16"/>
      <c r="K96" s="16" t="str">
        <f t="shared" si="276"/>
        <v>-</v>
      </c>
      <c r="L96" s="16" t="str">
        <f t="shared" si="277"/>
        <v>-</v>
      </c>
      <c r="M96" s="16"/>
      <c r="N96" s="16" t="str">
        <f t="shared" si="278"/>
        <v>-</v>
      </c>
      <c r="O96" s="16" t="str">
        <f t="shared" si="279"/>
        <v>-</v>
      </c>
      <c r="P96" s="16"/>
      <c r="Q96" s="16" t="str">
        <f t="shared" si="280"/>
        <v>-</v>
      </c>
      <c r="R96" s="16" t="str">
        <f t="shared" si="281"/>
        <v>-</v>
      </c>
      <c r="S96" s="16"/>
      <c r="T96" s="16" t="str">
        <f t="shared" si="282"/>
        <v>-</v>
      </c>
      <c r="U96" s="16" t="str">
        <f t="shared" si="283"/>
        <v>-</v>
      </c>
      <c r="V96" s="17"/>
      <c r="W96" s="669"/>
      <c r="X96" s="24">
        <f ca="1">Horarios!C96</f>
        <v>46200.708333333336</v>
      </c>
      <c r="Y96" s="25">
        <f ca="1">Horarios!C96</f>
        <v>46200.708333333336</v>
      </c>
      <c r="Z96" s="26" t="str">
        <f>$Z$8</f>
        <v>R3</v>
      </c>
      <c r="AA96" s="27" t="str">
        <f ca="1">A96</f>
        <v>Panama</v>
      </c>
      <c r="AB96" s="49" t="str" cm="1">
        <f t="array" aca="1" ref="AB96" ca="1">Ver_flag_local</f>
        <v>🇵🇦</v>
      </c>
      <c r="AC96" s="50"/>
      <c r="AD96" s="51"/>
      <c r="AE96" s="595" t="str" cm="1">
        <f t="array" aca="1" ref="AE96" ca="1">Ver_flag_visit</f>
        <v>🏴󠁧󠁢󠁥󠁮󠁧󠁿</v>
      </c>
      <c r="AF96" s="32" t="str">
        <f ca="1">A93</f>
        <v>England</v>
      </c>
      <c r="AG96" s="323">
        <f t="shared" si="284"/>
        <v>0</v>
      </c>
      <c r="AH96" s="195">
        <v>67</v>
      </c>
      <c r="AI96" s="181" t="str">
        <f t="shared" si="288"/>
        <v>3L</v>
      </c>
      <c r="AJ96" s="42">
        <v>3</v>
      </c>
      <c r="AK96" s="602" t="str" cm="1">
        <f t="array" aca="1" ref="AK96" ca="1">Ver_flag_visit</f>
        <v>🇬🇭</v>
      </c>
      <c r="AL96" s="37" t="str">
        <f ca="1">IFERROR(INDEX($BD$6:$BD$53,MATCH(AI96,$BN$6:$BN$53,0)),"")</f>
        <v>Ghana</v>
      </c>
      <c r="AM96" s="38">
        <f t="shared" ca="1" si="287"/>
        <v>0</v>
      </c>
      <c r="AN96" s="39">
        <f t="shared" ca="1" si="287"/>
        <v>0</v>
      </c>
      <c r="AO96" s="39">
        <f t="shared" ca="1" si="287"/>
        <v>0</v>
      </c>
      <c r="AP96" s="39">
        <f t="shared" ca="1" si="287"/>
        <v>0</v>
      </c>
      <c r="AQ96" s="39">
        <f t="shared" ca="1" si="287"/>
        <v>0</v>
      </c>
      <c r="AR96" s="39">
        <f t="shared" ca="1" si="287"/>
        <v>0</v>
      </c>
      <c r="AS96" s="39">
        <f t="shared" ca="1" si="287"/>
        <v>0</v>
      </c>
      <c r="AT96" s="43">
        <f t="shared" ca="1" si="287"/>
        <v>0</v>
      </c>
      <c r="AU96" s="330">
        <f ca="1">INDEX($DL$6:$DL$53,MATCH(AI96,$DP$6:$DP$53,0))</f>
        <v>1</v>
      </c>
      <c r="AV96" s="182" t="str">
        <f ca="1">INDEX($BD$6:$BD$53,MATCH(AI96,$BM$6:$BM$53,0))</f>
        <v>Ghana</v>
      </c>
      <c r="AW96" s="210"/>
      <c r="AX96" s="171"/>
      <c r="AY96" s="201" t="str">
        <f ca="1">+A95</f>
        <v>Ghana</v>
      </c>
      <c r="AZ96" s="202"/>
      <c r="BA96" s="176"/>
    </row>
    <row r="97" spans="1:62" ht="16" customHeight="1" thickBot="1" x14ac:dyDescent="0.25">
      <c r="A97" s="16"/>
      <c r="B97" s="16"/>
      <c r="C97" s="16"/>
      <c r="D97" s="16" t="str">
        <f t="shared" si="271"/>
        <v>Pendiente</v>
      </c>
      <c r="E97" s="16" t="str">
        <f t="shared" si="272"/>
        <v>-</v>
      </c>
      <c r="F97" s="16" t="str">
        <f t="shared" si="273"/>
        <v>-</v>
      </c>
      <c r="G97" s="16"/>
      <c r="H97" s="16" t="str">
        <f t="shared" si="274"/>
        <v>-</v>
      </c>
      <c r="I97" s="16" t="str">
        <f t="shared" si="275"/>
        <v>-</v>
      </c>
      <c r="J97" s="16"/>
      <c r="K97" s="16" t="str">
        <f t="shared" si="276"/>
        <v>-</v>
      </c>
      <c r="L97" s="16" t="str">
        <f t="shared" si="277"/>
        <v>-</v>
      </c>
      <c r="M97" s="16"/>
      <c r="N97" s="16" t="str">
        <f t="shared" si="278"/>
        <v>-</v>
      </c>
      <c r="O97" s="16" t="str">
        <f t="shared" si="279"/>
        <v>-</v>
      </c>
      <c r="P97" s="16"/>
      <c r="Q97" s="16" t="str">
        <f t="shared" si="280"/>
        <v>-</v>
      </c>
      <c r="R97" s="16" t="str">
        <f t="shared" si="281"/>
        <v>-</v>
      </c>
      <c r="S97" s="16"/>
      <c r="T97" s="16" t="str">
        <f t="shared" si="282"/>
        <v>-</v>
      </c>
      <c r="U97" s="16" t="str">
        <f t="shared" si="283"/>
        <v>-</v>
      </c>
      <c r="V97" s="17"/>
      <c r="W97" s="670"/>
      <c r="X97" s="28">
        <f ca="1">Horarios!C97</f>
        <v>46200.708333333336</v>
      </c>
      <c r="Y97" s="29">
        <f ca="1">Horarios!C97</f>
        <v>46200.708333333336</v>
      </c>
      <c r="Z97" s="30" t="str">
        <f>$Z$8</f>
        <v>R3</v>
      </c>
      <c r="AA97" s="31" t="str">
        <f ca="1">A94</f>
        <v>Croatia</v>
      </c>
      <c r="AB97" s="52" t="str" cm="1">
        <f t="array" aca="1" ref="AB97" ca="1">Ver_flag_local</f>
        <v>🇭🇷</v>
      </c>
      <c r="AC97" s="53"/>
      <c r="AD97" s="54"/>
      <c r="AE97" s="596" t="str" cm="1">
        <f t="array" aca="1" ref="AE97" ca="1">Ver_flag_visit</f>
        <v>🇬🇭</v>
      </c>
      <c r="AF97" s="33" t="str">
        <f ca="1">A95</f>
        <v>Ghana</v>
      </c>
      <c r="AG97" s="323">
        <f t="shared" si="284"/>
        <v>0</v>
      </c>
      <c r="AH97" s="195">
        <v>68</v>
      </c>
      <c r="AI97" s="181" t="str">
        <f t="shared" si="288"/>
        <v>4L</v>
      </c>
      <c r="AJ97" s="44">
        <v>4</v>
      </c>
      <c r="AK97" s="604" t="str" cm="1">
        <f t="array" aca="1" ref="AK97" ca="1">Ver_flag_visit</f>
        <v>🇵🇦</v>
      </c>
      <c r="AL97" s="45" t="str">
        <f ca="1">IFERROR(INDEX($BD$6:$BD$53,MATCH(AI97,$BN$6:$BN$53,0)),"")</f>
        <v>Panama</v>
      </c>
      <c r="AM97" s="46">
        <f t="shared" ca="1" si="287"/>
        <v>0</v>
      </c>
      <c r="AN97" s="47">
        <f t="shared" ca="1" si="287"/>
        <v>0</v>
      </c>
      <c r="AO97" s="47">
        <f t="shared" ca="1" si="287"/>
        <v>0</v>
      </c>
      <c r="AP97" s="47">
        <f t="shared" ca="1" si="287"/>
        <v>0</v>
      </c>
      <c r="AQ97" s="47">
        <f t="shared" ca="1" si="287"/>
        <v>0</v>
      </c>
      <c r="AR97" s="47">
        <f t="shared" ca="1" si="287"/>
        <v>0</v>
      </c>
      <c r="AS97" s="47">
        <f t="shared" ca="1" si="287"/>
        <v>0</v>
      </c>
      <c r="AT97" s="48">
        <f t="shared" ca="1" si="287"/>
        <v>0</v>
      </c>
      <c r="AU97" s="330">
        <f ca="1">INDEX($DL$6:$DL$53,MATCH(AI97,$DP$6:$DP$53,0))</f>
        <v>1</v>
      </c>
      <c r="AV97" s="182" t="str">
        <f ca="1">INDEX($BD$6:$BD$53,MATCH(AI97,$BM$6:$BM$53,0))</f>
        <v>Panama</v>
      </c>
      <c r="AW97" s="210"/>
      <c r="AX97" s="171"/>
      <c r="AY97" s="205" t="str">
        <f ca="1">+A96</f>
        <v>Panama</v>
      </c>
      <c r="AZ97" s="206"/>
      <c r="BA97" s="176"/>
    </row>
    <row r="98" spans="1:62" ht="16" thickBot="1" x14ac:dyDescent="0.25">
      <c r="A98" s="16"/>
      <c r="B98" s="16"/>
      <c r="C98" s="16"/>
      <c r="D98" s="16"/>
      <c r="E98" s="16"/>
      <c r="F98" s="16"/>
      <c r="G98" s="16"/>
      <c r="H98" s="16"/>
      <c r="I98" s="16"/>
      <c r="J98" s="16"/>
      <c r="K98" s="16"/>
      <c r="L98" s="16"/>
      <c r="M98" s="16"/>
      <c r="N98" s="16"/>
      <c r="O98" s="16"/>
      <c r="P98" s="16"/>
      <c r="Q98" s="16"/>
      <c r="R98" s="16"/>
      <c r="S98" s="16"/>
      <c r="T98" s="16"/>
      <c r="U98" s="16"/>
      <c r="V98" s="17"/>
      <c r="W98" s="154"/>
      <c r="X98" s="155"/>
      <c r="Y98" s="154"/>
      <c r="Z98" s="156"/>
      <c r="AA98" s="157"/>
      <c r="AB98" s="158"/>
      <c r="AC98" s="151"/>
      <c r="AD98" s="151"/>
      <c r="AE98" s="158"/>
      <c r="AF98" s="159"/>
      <c r="AG98" s="325"/>
      <c r="AH98" s="180"/>
      <c r="AI98" s="180"/>
      <c r="AJ98" s="160"/>
      <c r="AK98" s="161"/>
      <c r="AL98" s="162"/>
      <c r="AM98" s="163"/>
      <c r="AN98" s="160"/>
      <c r="AO98" s="160"/>
      <c r="AP98" s="160"/>
      <c r="AQ98" s="160"/>
      <c r="AR98" s="160"/>
      <c r="AS98" s="160"/>
      <c r="AT98" s="160"/>
      <c r="AU98" s="330"/>
      <c r="AV98" s="189"/>
      <c r="AW98" s="213"/>
      <c r="AX98" s="174"/>
      <c r="AY98" s="154"/>
      <c r="AZ98" s="155"/>
      <c r="BA98" s="176"/>
    </row>
    <row r="99" spans="1:62" ht="16" thickBot="1" x14ac:dyDescent="0.25">
      <c r="A99" s="16"/>
      <c r="B99" s="16"/>
      <c r="C99" s="16"/>
      <c r="D99" s="16"/>
      <c r="E99" s="16"/>
      <c r="F99" s="16"/>
      <c r="G99" s="16"/>
      <c r="H99" s="16"/>
      <c r="I99" s="16"/>
      <c r="J99" s="16" t="s">
        <v>1299</v>
      </c>
      <c r="K99" s="16"/>
      <c r="L99" s="16"/>
      <c r="M99" s="16"/>
      <c r="N99" s="16"/>
      <c r="O99" s="16"/>
      <c r="P99" s="16"/>
      <c r="Q99" s="16"/>
      <c r="R99" s="16"/>
      <c r="S99" s="16"/>
      <c r="T99" s="16"/>
      <c r="U99" s="16"/>
      <c r="V99" s="17"/>
      <c r="W99" s="66" t="str">
        <f>Idiomas!D27</f>
        <v>Round of 32</v>
      </c>
      <c r="X99" s="10"/>
      <c r="Y99" s="11"/>
      <c r="Z99" s="11"/>
      <c r="AA99" s="11"/>
      <c r="AB99" s="11"/>
      <c r="AC99" s="11"/>
      <c r="AD99" s="11"/>
      <c r="AE99" s="11"/>
      <c r="AF99" s="12"/>
      <c r="AG99" s="326"/>
      <c r="AH99" s="182"/>
      <c r="AI99" s="180"/>
      <c r="AJ99" s="579"/>
      <c r="AK99" s="610" t="str">
        <f ca="1">+IF(OR($H$113&gt;=48,$AJ$99&gt;=48),"",Idiomas!D69)</f>
        <v>The ranking of the best third places appears at the end of J1</v>
      </c>
      <c r="AL99" s="611"/>
      <c r="AM99" s="611"/>
      <c r="AN99" s="611"/>
      <c r="AO99" s="611"/>
      <c r="AP99" s="611"/>
      <c r="AQ99" s="611"/>
      <c r="AR99" s="611"/>
      <c r="AS99" s="611"/>
      <c r="AT99" s="611"/>
      <c r="AU99" s="331"/>
      <c r="AV99" s="188"/>
      <c r="AW99" s="214"/>
      <c r="AX99" s="169"/>
      <c r="AY99" s="154"/>
      <c r="AZ99" s="155"/>
      <c r="BA99" s="176"/>
    </row>
    <row r="100" spans="1:62" ht="16" customHeight="1" x14ac:dyDescent="0.2">
      <c r="A100" s="16" t="s">
        <v>1300</v>
      </c>
      <c r="B100" s="16"/>
      <c r="C100" s="16"/>
      <c r="D100" s="16"/>
      <c r="E100" s="16"/>
      <c r="F100" s="16"/>
      <c r="G100" s="16"/>
      <c r="H100" s="16"/>
      <c r="I100" s="16"/>
      <c r="J100" s="16" t="s">
        <v>1202</v>
      </c>
      <c r="K100" s="16" t="s">
        <v>731</v>
      </c>
      <c r="L100" s="16"/>
      <c r="M100" s="16" t="s">
        <v>1203</v>
      </c>
      <c r="N100" s="16" t="s">
        <v>1204</v>
      </c>
      <c r="O100" s="16"/>
      <c r="P100" s="16"/>
      <c r="Q100" s="16"/>
      <c r="R100" s="16"/>
      <c r="S100" s="16"/>
      <c r="T100" s="16"/>
      <c r="U100" s="16"/>
      <c r="V100" s="17"/>
      <c r="W100" s="8"/>
      <c r="X100" s="69" t="str">
        <f>X3</f>
        <v>Date</v>
      </c>
      <c r="Y100" s="69" t="str">
        <f>Y3</f>
        <v>Hour</v>
      </c>
      <c r="Z100" s="69" t="s">
        <v>728</v>
      </c>
      <c r="AA100" s="68" t="str">
        <f>AA3</f>
        <v>Home</v>
      </c>
      <c r="AB100" s="67" t="s">
        <v>13</v>
      </c>
      <c r="AC100" s="69" t="str">
        <f>AC3</f>
        <v>Goal</v>
      </c>
      <c r="AD100" s="69" t="str">
        <f>AD3</f>
        <v>Goal</v>
      </c>
      <c r="AE100" s="67" t="s">
        <v>13</v>
      </c>
      <c r="AF100" s="70" t="str">
        <f>AF3</f>
        <v>Away</v>
      </c>
      <c r="AG100" s="404"/>
      <c r="AH100" s="182"/>
      <c r="AI100" s="180"/>
      <c r="AJ100" s="59" t="str">
        <f>Idiomas!D26</f>
        <v>Best third-placed</v>
      </c>
      <c r="AK100" s="60"/>
      <c r="AL100" s="60"/>
      <c r="AM100" s="60"/>
      <c r="AN100" s="60"/>
      <c r="AO100" s="60"/>
      <c r="AP100" s="60"/>
      <c r="AQ100" s="60"/>
      <c r="AR100" s="60"/>
      <c r="AS100" s="60"/>
      <c r="AT100" s="61"/>
      <c r="AU100" s="333"/>
      <c r="AV100" s="286" t="str">
        <f ca="1">IF(AU101&gt;0,$AV$3,"")</f>
        <v/>
      </c>
      <c r="AW100" s="151"/>
      <c r="AX100" s="151"/>
      <c r="AY100" s="154"/>
      <c r="AZ100" s="155"/>
      <c r="BA100" s="176"/>
    </row>
    <row r="101" spans="1:62" ht="16" customHeight="1" thickBot="1" x14ac:dyDescent="0.25">
      <c r="A101" s="16" t="s">
        <v>657</v>
      </c>
      <c r="B101" s="16" t="s">
        <v>660</v>
      </c>
      <c r="C101" s="16"/>
      <c r="D101" s="16" t="str">
        <f t="shared" ref="D101:D116" si="289">IF(AND(OR(AC101="",AD101="")),"W"&amp;AH101,IF(AC101&gt;AD101,AA101,IF(AC101&lt;AD101,AF101,IF(AND(AC101=AD101,AB101=AE101),"W"&amp;AH101,IF(AND(AC101=AD101,OR(AB101="",AE101="")),"W"&amp;AH101,IF(AND(AC101=AD101,AB101&gt;AE101),AA101,AF101))))))</f>
        <v>W73</v>
      </c>
      <c r="E101" s="16" t="s">
        <v>0</v>
      </c>
      <c r="F101" s="16" t="s">
        <v>1</v>
      </c>
      <c r="G101" s="16" t="s">
        <v>0</v>
      </c>
      <c r="H101" s="16">
        <f t="shared" ref="H101:H112" ca="1" si="290">+SUMIF($BC$6:$BC$53,G101,$BF$6:$BF$53)</f>
        <v>0</v>
      </c>
      <c r="I101" s="16"/>
      <c r="J101" s="16">
        <v>73</v>
      </c>
      <c r="K101" s="16">
        <v>46201.75</v>
      </c>
      <c r="L101" s="16" t="s">
        <v>696</v>
      </c>
      <c r="M101" s="16" t="str">
        <f t="shared" ref="M101:M116" ca="1" si="291">+IF(OR(INDEX($H$101:$H$113,MATCH(E101,$G$101:$G$113,0))=12,$AJ$99=144),INDEX($AL$6:$AL$97,MATCH(A101,$AI$6:$AI$97,0)),A101)</f>
        <v>2A</v>
      </c>
      <c r="N101" s="16" t="str">
        <f ca="1">+IFERROR(IF(OR(AND(LEFT(B101,1)="2",INDEX($H$101:$H$113,MATCH(F101,$G$101:$G$113,0))=12),AND(LEFT(B101,1)="2",$AJ$99=144)),INDEX($AL$6:$AL$97,MATCH(B101,$AI$6:$AI$97,0)),IF(OR(AND(LEFT(B101,1)="3",INDEX($H$101:$H$113,MATCH(F101,$G$101:$G$113,0))=144),AND(LEFT(B101,1)="3",$AJ$99=144)),INDEX(Combinaciones!$C$2:$J$496,MATCH(1,Combinaciones!$B$2:$B$496,0),MATCH(WORLDCUP!E101,Combinaciones!$C$1:$J$1,0)),B101)),B101)</f>
        <v>2B</v>
      </c>
      <c r="O101" s="16"/>
      <c r="P101" s="16"/>
      <c r="Q101" s="16"/>
      <c r="R101" s="16"/>
      <c r="S101" s="16"/>
      <c r="T101" s="16"/>
      <c r="U101" s="16"/>
      <c r="V101" s="17"/>
      <c r="W101" s="675" t="s">
        <v>493</v>
      </c>
      <c r="X101" s="24">
        <f ca="1">Horarios!C101</f>
        <v>46201.625</v>
      </c>
      <c r="Y101" s="25">
        <f ca="1">Horarios!C101</f>
        <v>46201.625</v>
      </c>
      <c r="Z101" s="280">
        <f>AH101</f>
        <v>73</v>
      </c>
      <c r="AA101" s="88" t="str">
        <f t="shared" ref="AA101:AA116" ca="1" si="292">+INDEX($M$101:$M$147,MATCH(AH101,$J$101:$J$147,0))</f>
        <v>2A</v>
      </c>
      <c r="AB101" s="89"/>
      <c r="AC101" s="51"/>
      <c r="AD101" s="51"/>
      <c r="AE101" s="90"/>
      <c r="AF101" s="91" t="str">
        <f t="shared" ref="AF101:AF116" ca="1" si="293">+INDEX($N$101:$N$147,MATCH(AH101,$J$101:$J$147,0))</f>
        <v>2B</v>
      </c>
      <c r="AG101" s="327">
        <f t="shared" ref="AG101:AG116" si="294">IF(D101="W"&amp;AH101,0,1)</f>
        <v>0</v>
      </c>
      <c r="AH101" s="195">
        <v>73</v>
      </c>
      <c r="AI101" s="180"/>
      <c r="AJ101" s="62" t="str">
        <f>AJ5</f>
        <v>Pos</v>
      </c>
      <c r="AK101" s="63"/>
      <c r="AL101" s="64" t="str">
        <f t="shared" ref="AL101:AT101" si="295">AL5</f>
        <v>Nation</v>
      </c>
      <c r="AM101" s="63" t="str">
        <f t="shared" si="295"/>
        <v>Pts</v>
      </c>
      <c r="AN101" s="63" t="str">
        <f t="shared" si="295"/>
        <v>P</v>
      </c>
      <c r="AO101" s="63" t="str">
        <f t="shared" si="295"/>
        <v>W</v>
      </c>
      <c r="AP101" s="63" t="str">
        <f t="shared" si="295"/>
        <v>D</v>
      </c>
      <c r="AQ101" s="63" t="str">
        <f t="shared" si="295"/>
        <v>L</v>
      </c>
      <c r="AR101" s="63" t="str">
        <f t="shared" si="295"/>
        <v>F</v>
      </c>
      <c r="AS101" s="63" t="str">
        <f t="shared" si="295"/>
        <v>A</v>
      </c>
      <c r="AT101" s="65" t="str">
        <f t="shared" si="295"/>
        <v>GD</v>
      </c>
      <c r="AU101" s="331">
        <f ca="1">COUNTIF(AU102:AU113,"&gt;1")</f>
        <v>0</v>
      </c>
      <c r="AV101" s="188"/>
      <c r="AW101" s="214"/>
      <c r="AX101" s="214"/>
      <c r="AY101" s="335" t="str">
        <f ca="1">+IF(OR($H$113&gt;=48,$AJ$99=144),Idiomas!D68,"")</f>
        <v/>
      </c>
      <c r="AZ101" s="336" t="str">
        <f ca="1">+IF(OR($H$113&gt;=48,$AJ$99=144),BI112,"")</f>
        <v/>
      </c>
      <c r="BA101" s="176"/>
    </row>
    <row r="102" spans="1:62" ht="16" customHeight="1" x14ac:dyDescent="0.2">
      <c r="A102" s="16" t="s">
        <v>672</v>
      </c>
      <c r="B102" s="16" t="s">
        <v>733</v>
      </c>
      <c r="C102" s="16"/>
      <c r="D102" s="16" t="str">
        <f t="shared" si="289"/>
        <v>W76</v>
      </c>
      <c r="E102" s="16" t="s">
        <v>3</v>
      </c>
      <c r="F102" s="16" t="s">
        <v>732</v>
      </c>
      <c r="G102" s="16" t="s">
        <v>1</v>
      </c>
      <c r="H102" s="16">
        <f t="shared" ca="1" si="290"/>
        <v>0</v>
      </c>
      <c r="I102" s="16"/>
      <c r="J102" s="16">
        <v>74</v>
      </c>
      <c r="K102" s="16">
        <v>46202.75</v>
      </c>
      <c r="L102" s="16" t="s">
        <v>697</v>
      </c>
      <c r="M102" s="16" t="str">
        <f t="shared" ca="1" si="291"/>
        <v>1E</v>
      </c>
      <c r="N102" s="16" t="str">
        <f ca="1">+IFERROR(IF(OR(AND(LEFT(B102,1)="2",INDEX($H$101:$H$113,MATCH(F102,$G$101:$G$113,0))=12),AND(LEFT(B102,1)="2",$AJ$99=144)),INDEX($AL$6:$AL$97,MATCH(B102,$AI$6:$AI$97,0)),IF(OR(AND(LEFT(B102,1)="3",INDEX($H$101:$H$113,MATCH(F102,$G$101:$G$113,0))=144),AND(LEFT(B102,1)="3",$AJ$99=144)),INDEX(Combinaciones!$C$2:$J$496,MATCH(1,Combinaciones!$B$2:$B$496,0),MATCH(WORLDCUP!E102,Combinaciones!$C$1:$J$1,0)),B102)),B102)</f>
        <v>3ABCDF</v>
      </c>
      <c r="O102" s="16"/>
      <c r="P102" s="16"/>
      <c r="Q102" s="16"/>
      <c r="R102" s="16"/>
      <c r="S102" s="16"/>
      <c r="T102" s="16"/>
      <c r="U102" s="16"/>
      <c r="V102" s="17"/>
      <c r="W102" s="675"/>
      <c r="X102" s="24">
        <f ca="1">Horarios!C102</f>
        <v>46202.541666666664</v>
      </c>
      <c r="Y102" s="25">
        <f ca="1">Horarios!C102</f>
        <v>46202.541666666664</v>
      </c>
      <c r="Z102" s="280">
        <f t="shared" ref="Z102:Z116" si="296">AH102</f>
        <v>76</v>
      </c>
      <c r="AA102" s="88" t="str">
        <f t="shared" ca="1" si="292"/>
        <v>1C</v>
      </c>
      <c r="AB102" s="89"/>
      <c r="AC102" s="92"/>
      <c r="AD102" s="92"/>
      <c r="AE102" s="89"/>
      <c r="AF102" s="91" t="str">
        <f t="shared" ca="1" si="293"/>
        <v>2F</v>
      </c>
      <c r="AG102" s="327">
        <f t="shared" si="294"/>
        <v>0</v>
      </c>
      <c r="AH102" s="195">
        <v>76</v>
      </c>
      <c r="AI102" s="182">
        <v>1</v>
      </c>
      <c r="AJ102" s="80">
        <v>1</v>
      </c>
      <c r="AK102" s="605" t="str" cm="1">
        <f t="array" aca="1" ref="AK102" ca="1">Ver_flag_visit</f>
        <v/>
      </c>
      <c r="AL102" s="81" t="str">
        <f t="shared" ref="AL102:AL113" ca="1" si="297">+IF($H$113&gt;=48,INDEX($BD$58:$BD$69,MATCH(AI102,$BN$58:$BN$69,0)),BB58)</f>
        <v>3A</v>
      </c>
      <c r="AM102" s="588" t="str">
        <f ca="1">+IF($H$113&gt;=48,INDEX($BE$58:$BN$69,MATCH($AL102,$BD$58:$BD$69,0),MATCH(AM$5,$BE$57:$BN$57,0)),$BB58)</f>
        <v>3A</v>
      </c>
      <c r="AN102" s="82" t="str">
        <f ca="1">+IF($H$113&gt;=48,INDEX($BE$58:$BN$69,MATCH($AL102,$BD$58:$BD$69,0),MATCH(AN$5,$BE$57:$BN$57,0)),$BB58)</f>
        <v>3A</v>
      </c>
      <c r="AO102" s="82" t="str">
        <f t="shared" ref="AO102:AT102" ca="1" si="298">+IF($H$113&gt;=48,INDEX($BE$58:$BN$69,MATCH($AL102,$BD$58:$BD$69,0),MATCH(AO$5,$BE$57:$BN$57,0)),$BB58)</f>
        <v>3A</v>
      </c>
      <c r="AP102" s="82" t="str">
        <f t="shared" ca="1" si="298"/>
        <v>3A</v>
      </c>
      <c r="AQ102" s="83" t="str">
        <f t="shared" ca="1" si="298"/>
        <v>3A</v>
      </c>
      <c r="AR102" s="83" t="str">
        <f t="shared" ca="1" si="298"/>
        <v>3A</v>
      </c>
      <c r="AS102" s="83" t="str">
        <f t="shared" ca="1" si="298"/>
        <v>3A</v>
      </c>
      <c r="AT102" s="84" t="str">
        <f t="shared" ca="1" si="298"/>
        <v>3A</v>
      </c>
      <c r="AU102" s="330" t="str">
        <f t="shared" ref="AU102:AU113" ca="1" si="299">IF($H$113=144,INDEX($DL$58:$DL$69,MATCH(AI102,$DP$58:$DP$69,0)),"")</f>
        <v/>
      </c>
      <c r="AV102" s="182" t="str">
        <f t="shared" ref="AV102:AV113" ca="1" si="300">INDEX($BD$58:$BD$69,MATCH(AI102,$BM$58:$BM$69,0))</f>
        <v>Australia</v>
      </c>
      <c r="AW102" s="215"/>
      <c r="AX102" s="170"/>
      <c r="AY102" s="154"/>
      <c r="AZ102" s="155"/>
      <c r="BA102" s="176"/>
      <c r="BE102" t="s">
        <v>454</v>
      </c>
      <c r="BF102" t="s">
        <v>730</v>
      </c>
      <c r="BG102" t="s">
        <v>775</v>
      </c>
      <c r="BI102" t="s">
        <v>86</v>
      </c>
    </row>
    <row r="103" spans="1:62" ht="16" customHeight="1" x14ac:dyDescent="0.2">
      <c r="A103" s="16" t="s">
        <v>675</v>
      </c>
      <c r="B103" s="16" t="s">
        <v>667</v>
      </c>
      <c r="C103" s="16"/>
      <c r="D103" s="16" t="str">
        <f t="shared" si="289"/>
        <v>W74</v>
      </c>
      <c r="E103" s="16" t="s">
        <v>4</v>
      </c>
      <c r="F103" s="16" t="s">
        <v>2</v>
      </c>
      <c r="G103" s="16" t="s">
        <v>2</v>
      </c>
      <c r="H103" s="16">
        <f t="shared" ca="1" si="290"/>
        <v>0</v>
      </c>
      <c r="I103" s="16"/>
      <c r="J103" s="16">
        <v>75</v>
      </c>
      <c r="K103" s="16">
        <v>46202.75</v>
      </c>
      <c r="L103" s="16" t="s">
        <v>698</v>
      </c>
      <c r="M103" s="16" t="str">
        <f t="shared" ca="1" si="291"/>
        <v>1F</v>
      </c>
      <c r="N103" s="16" t="str">
        <f ca="1">+IFERROR(IF(OR(AND(LEFT(B103,1)="2",INDEX($H$101:$H$113,MATCH(F103,$G$101:$G$113,0))=12),AND(LEFT(B103,1)="2",$AJ$99=144)),INDEX($AL$6:$AL$97,MATCH(B103,$AI$6:$AI$97,0)),IF(OR(AND(LEFT(B103,1)="3",INDEX($H$101:$H$113,MATCH(F103,$G$101:$G$113,0))=144),AND(LEFT(B103,1)="3",$AJ$99=144)),INDEX(Combinaciones!$C$2:$J$496,MATCH(1,Combinaciones!$B$2:$B$496,0),MATCH(WORLDCUP!E103,Combinaciones!$C$1:$J$1,0)),B103)),B103)</f>
        <v>2C</v>
      </c>
      <c r="O103" s="16"/>
      <c r="P103" s="16"/>
      <c r="Q103" s="16"/>
      <c r="R103" s="16"/>
      <c r="S103" s="16"/>
      <c r="T103" s="16"/>
      <c r="U103" s="16"/>
      <c r="V103" s="17"/>
      <c r="W103" s="675"/>
      <c r="X103" s="24">
        <f ca="1">Horarios!C103</f>
        <v>46202.6875</v>
      </c>
      <c r="Y103" s="25">
        <f ca="1">Horarios!C103</f>
        <v>46202.6875</v>
      </c>
      <c r="Z103" s="280">
        <f t="shared" si="296"/>
        <v>74</v>
      </c>
      <c r="AA103" s="88" t="str">
        <f t="shared" ca="1" si="292"/>
        <v>1E</v>
      </c>
      <c r="AB103" s="89"/>
      <c r="AC103" s="92"/>
      <c r="AD103" s="92"/>
      <c r="AE103" s="89"/>
      <c r="AF103" s="91" t="str">
        <f t="shared" ca="1" si="293"/>
        <v>3ABCDF</v>
      </c>
      <c r="AG103" s="327">
        <f t="shared" si="294"/>
        <v>0</v>
      </c>
      <c r="AH103" s="195">
        <v>74</v>
      </c>
      <c r="AI103" s="182">
        <v>2</v>
      </c>
      <c r="AJ103" s="42">
        <v>2</v>
      </c>
      <c r="AK103" s="602" t="str" cm="1">
        <f t="array" aca="1" ref="AK103" ca="1">Ver_flag_visit</f>
        <v/>
      </c>
      <c r="AL103" s="85" t="str">
        <f t="shared" ca="1" si="297"/>
        <v>3B</v>
      </c>
      <c r="AM103" s="589" t="str">
        <f t="shared" ref="AM103:AM113" ca="1" si="301">+IF($H$113&gt;=48,INDEX($BE$58:$BN$69,MATCH($AL103,$BD$58:$BD$69,0),MATCH(AM$5,$BE$57:$BN$57,0)),$BB59)</f>
        <v>3B</v>
      </c>
      <c r="AN103" s="86" t="str">
        <f t="shared" ref="AN103:AT103" ca="1" si="302">+IF($H$113&gt;=48,INDEX($BE$58:$BN$69,MATCH($AL103,$BD$58:$BD$69,0),MATCH(AN$5,$BE$57:$BN$57,0)),$BB59)</f>
        <v>3B</v>
      </c>
      <c r="AO103" s="86" t="str">
        <f t="shared" ca="1" si="302"/>
        <v>3B</v>
      </c>
      <c r="AP103" s="86" t="str">
        <f t="shared" ca="1" si="302"/>
        <v>3B</v>
      </c>
      <c r="AQ103" s="86" t="str">
        <f t="shared" ca="1" si="302"/>
        <v>3B</v>
      </c>
      <c r="AR103" s="86" t="str">
        <f t="shared" ca="1" si="302"/>
        <v>3B</v>
      </c>
      <c r="AS103" s="86" t="str">
        <f t="shared" ca="1" si="302"/>
        <v>3B</v>
      </c>
      <c r="AT103" s="87" t="str">
        <f t="shared" ca="1" si="302"/>
        <v>3B</v>
      </c>
      <c r="AU103" s="330" t="str">
        <f t="shared" ca="1" si="299"/>
        <v/>
      </c>
      <c r="AV103" s="182" t="str">
        <f t="shared" ca="1" si="300"/>
        <v>Austria</v>
      </c>
      <c r="AW103" s="215"/>
      <c r="AX103" s="170"/>
      <c r="AY103" s="276"/>
      <c r="AZ103" s="279" t="str">
        <f t="shared" ref="AZ103:AZ110" ca="1" si="303">+IF(OR($H$113&gt;=48,$AJ$99=144),BF117&amp;" - "&amp;BG117,"")</f>
        <v/>
      </c>
      <c r="BA103" s="176"/>
      <c r="BF103" t="str">
        <f t="shared" ref="BF103:BF110" ca="1" si="304">IFERROR(INDEX($BC$6:$BC$53,MATCH(AL102,$BD$6:$BD$53,0)),"")</f>
        <v/>
      </c>
      <c r="BG103">
        <f t="shared" ref="BG103:BG110" ca="1" si="305">COUNTIF($BF$103:$BF$110,"&lt;="&amp;BF103)</f>
        <v>0</v>
      </c>
      <c r="BI103">
        <v>1</v>
      </c>
      <c r="BJ103" t="str">
        <f t="shared" ref="BJ103:BJ110" ca="1" si="306">IFERROR(INDEX($BF$103:$BF$110,MATCH(BI103,$BG$103:$BG$110,0)),"Grupo")</f>
        <v>Grupo</v>
      </c>
    </row>
    <row r="104" spans="1:62" ht="16" customHeight="1" x14ac:dyDescent="0.2">
      <c r="A104" s="16" t="s">
        <v>662</v>
      </c>
      <c r="B104" s="16" t="s">
        <v>676</v>
      </c>
      <c r="C104" s="16"/>
      <c r="D104" s="16" t="str">
        <f t="shared" si="289"/>
        <v>W75</v>
      </c>
      <c r="E104" s="16" t="s">
        <v>2</v>
      </c>
      <c r="F104" s="16" t="s">
        <v>4</v>
      </c>
      <c r="G104" s="16" t="s">
        <v>74</v>
      </c>
      <c r="H104" s="16">
        <f t="shared" ca="1" si="290"/>
        <v>0</v>
      </c>
      <c r="I104" s="16"/>
      <c r="J104" s="16">
        <v>76</v>
      </c>
      <c r="K104" s="16">
        <v>46202.75</v>
      </c>
      <c r="L104" s="16" t="s">
        <v>699</v>
      </c>
      <c r="M104" s="16" t="str">
        <f t="shared" ca="1" si="291"/>
        <v>1C</v>
      </c>
      <c r="N104" s="16" t="str">
        <f ca="1">+IFERROR(IF(OR(AND(LEFT(B104,1)="2",INDEX($H$101:$H$113,MATCH(F104,$G$101:$G$113,0))=12),AND(LEFT(B104,1)="2",$AJ$99=144)),INDEX($AL$6:$AL$97,MATCH(B104,$AI$6:$AI$97,0)),IF(OR(AND(LEFT(B104,1)="3",INDEX($H$101:$H$113,MATCH(F104,$G$101:$G$113,0))=144),AND(LEFT(B104,1)="3",$AJ$99=144)),INDEX(Combinaciones!$C$2:$J$496,MATCH(1,Combinaciones!$B$2:$B$496,0),MATCH(WORLDCUP!E104,Combinaciones!$C$1:$J$1,0)),B104)),B104)</f>
        <v>2F</v>
      </c>
      <c r="O104" s="16"/>
      <c r="P104" s="16"/>
      <c r="Q104" s="16"/>
      <c r="R104" s="16"/>
      <c r="S104" s="16"/>
      <c r="T104" s="16"/>
      <c r="U104" s="16"/>
      <c r="V104" s="17"/>
      <c r="W104" s="675"/>
      <c r="X104" s="24">
        <f ca="1">Horarios!C104</f>
        <v>46202.875</v>
      </c>
      <c r="Y104" s="25">
        <f ca="1">Horarios!C104</f>
        <v>46202.875</v>
      </c>
      <c r="Z104" s="280">
        <f t="shared" si="296"/>
        <v>75</v>
      </c>
      <c r="AA104" s="88" t="str">
        <f t="shared" ca="1" si="292"/>
        <v>1F</v>
      </c>
      <c r="AB104" s="89"/>
      <c r="AC104" s="92"/>
      <c r="AD104" s="92"/>
      <c r="AE104" s="89"/>
      <c r="AF104" s="91" t="str">
        <f t="shared" ca="1" si="293"/>
        <v>2C</v>
      </c>
      <c r="AG104" s="327">
        <f t="shared" si="294"/>
        <v>0</v>
      </c>
      <c r="AH104" s="195">
        <v>75</v>
      </c>
      <c r="AI104" s="182">
        <v>3</v>
      </c>
      <c r="AJ104" s="42">
        <v>3</v>
      </c>
      <c r="AK104" s="602" t="str" cm="1">
        <f t="array" aca="1" ref="AK104" ca="1">Ver_flag_visit</f>
        <v/>
      </c>
      <c r="AL104" s="85" t="str">
        <f t="shared" ca="1" si="297"/>
        <v>3C</v>
      </c>
      <c r="AM104" s="589" t="str">
        <f t="shared" ca="1" si="301"/>
        <v>3C</v>
      </c>
      <c r="AN104" s="86" t="str">
        <f t="shared" ref="AN104:AT104" ca="1" si="307">+IF($H$113&gt;=48,INDEX($BE$58:$BN$69,MATCH($AL104,$BD$58:$BD$69,0),MATCH(AN$5,$BE$57:$BN$57,0)),$BB60)</f>
        <v>3C</v>
      </c>
      <c r="AO104" s="86" t="str">
        <f t="shared" ca="1" si="307"/>
        <v>3C</v>
      </c>
      <c r="AP104" s="86" t="str">
        <f t="shared" ca="1" si="307"/>
        <v>3C</v>
      </c>
      <c r="AQ104" s="86" t="str">
        <f t="shared" ca="1" si="307"/>
        <v>3C</v>
      </c>
      <c r="AR104" s="86" t="str">
        <f t="shared" ca="1" si="307"/>
        <v>3C</v>
      </c>
      <c r="AS104" s="86" t="str">
        <f t="shared" ca="1" si="307"/>
        <v>3C</v>
      </c>
      <c r="AT104" s="87" t="str">
        <f t="shared" ca="1" si="307"/>
        <v>3C</v>
      </c>
      <c r="AU104" s="330" t="str">
        <f t="shared" ca="1" si="299"/>
        <v/>
      </c>
      <c r="AV104" s="182" t="str">
        <f t="shared" ca="1" si="300"/>
        <v>Ghana</v>
      </c>
      <c r="AW104" s="215"/>
      <c r="AX104" s="170"/>
      <c r="AY104" s="276"/>
      <c r="AZ104" s="279" t="str">
        <f t="shared" ca="1" si="303"/>
        <v/>
      </c>
      <c r="BA104" s="176"/>
      <c r="BF104" t="str">
        <f t="shared" ca="1" si="304"/>
        <v/>
      </c>
      <c r="BG104">
        <f t="shared" ca="1" si="305"/>
        <v>0</v>
      </c>
      <c r="BI104">
        <v>2</v>
      </c>
      <c r="BJ104" t="str">
        <f t="shared" ca="1" si="306"/>
        <v>Grupo</v>
      </c>
    </row>
    <row r="105" spans="1:62" ht="16" customHeight="1" x14ac:dyDescent="0.2">
      <c r="A105" s="16" t="s">
        <v>684</v>
      </c>
      <c r="B105" s="16" t="s">
        <v>734</v>
      </c>
      <c r="C105" s="16"/>
      <c r="D105" s="16" t="str">
        <f t="shared" si="289"/>
        <v>W78</v>
      </c>
      <c r="E105" s="16" t="s">
        <v>448</v>
      </c>
      <c r="F105" s="16" t="s">
        <v>732</v>
      </c>
      <c r="G105" s="16" t="s">
        <v>3</v>
      </c>
      <c r="H105" s="16">
        <f t="shared" ca="1" si="290"/>
        <v>0</v>
      </c>
      <c r="I105" s="16"/>
      <c r="J105" s="16">
        <v>77</v>
      </c>
      <c r="K105" s="16">
        <v>46203.75</v>
      </c>
      <c r="L105" s="16" t="s">
        <v>700</v>
      </c>
      <c r="M105" s="16" t="str">
        <f t="shared" ca="1" si="291"/>
        <v>1I</v>
      </c>
      <c r="N105" s="16" t="str">
        <f ca="1">+IFERROR(IF(OR(AND(LEFT(B105,1)="2",INDEX($H$101:$H$113,MATCH(F105,$G$101:$G$113,0))=12),AND(LEFT(B105,1)="2",$AJ$99=144)),INDEX($AL$6:$AL$97,MATCH(B105,$AI$6:$AI$97,0)),IF(OR(AND(LEFT(B105,1)="3",INDEX($H$101:$H$113,MATCH(F105,$G$101:$G$113,0))=144),AND(LEFT(B105,1)="3",$AJ$99=144)),INDEX(Combinaciones!$C$2:$J$496,MATCH(1,Combinaciones!$B$2:$B$496,0),MATCH(WORLDCUP!E105,Combinaciones!$C$1:$J$1,0)),B105)),B105)</f>
        <v>3CDFGH</v>
      </c>
      <c r="O105" s="16"/>
      <c r="P105" s="16"/>
      <c r="Q105" s="16"/>
      <c r="R105" s="16"/>
      <c r="S105" s="16"/>
      <c r="T105" s="16"/>
      <c r="U105" s="16"/>
      <c r="V105" s="17"/>
      <c r="W105" s="675"/>
      <c r="X105" s="24">
        <f ca="1">Horarios!C105</f>
        <v>46203.541666666664</v>
      </c>
      <c r="Y105" s="25">
        <f ca="1">Horarios!C105</f>
        <v>46203.541666666664</v>
      </c>
      <c r="Z105" s="280">
        <f t="shared" si="296"/>
        <v>78</v>
      </c>
      <c r="AA105" s="88" t="str">
        <f t="shared" ca="1" si="292"/>
        <v>2E</v>
      </c>
      <c r="AB105" s="89"/>
      <c r="AC105" s="92"/>
      <c r="AD105" s="92"/>
      <c r="AE105" s="89"/>
      <c r="AF105" s="91" t="str">
        <f t="shared" ca="1" si="293"/>
        <v>2I</v>
      </c>
      <c r="AG105" s="327">
        <f t="shared" si="294"/>
        <v>0</v>
      </c>
      <c r="AH105" s="195">
        <v>78</v>
      </c>
      <c r="AI105" s="182">
        <v>4</v>
      </c>
      <c r="AJ105" s="42">
        <v>4</v>
      </c>
      <c r="AK105" s="602" t="str" cm="1">
        <f t="array" aca="1" ref="AK105" ca="1">Ver_flag_visit</f>
        <v/>
      </c>
      <c r="AL105" s="85" t="str">
        <f t="shared" ca="1" si="297"/>
        <v>3D</v>
      </c>
      <c r="AM105" s="589" t="str">
        <f t="shared" ca="1" si="301"/>
        <v>3D</v>
      </c>
      <c r="AN105" s="86" t="str">
        <f t="shared" ref="AN105:AT105" ca="1" si="308">+IF($H$113&gt;=48,INDEX($BE$58:$BN$69,MATCH($AL105,$BD$58:$BD$69,0),MATCH(AN$5,$BE$57:$BN$57,0)),$BB61)</f>
        <v>3D</v>
      </c>
      <c r="AO105" s="86" t="str">
        <f t="shared" ca="1" si="308"/>
        <v>3D</v>
      </c>
      <c r="AP105" s="86" t="str">
        <f t="shared" ca="1" si="308"/>
        <v>3D</v>
      </c>
      <c r="AQ105" s="86" t="str">
        <f t="shared" ca="1" si="308"/>
        <v>3D</v>
      </c>
      <c r="AR105" s="86" t="str">
        <f t="shared" ca="1" si="308"/>
        <v>3D</v>
      </c>
      <c r="AS105" s="86" t="str">
        <f t="shared" ca="1" si="308"/>
        <v>3D</v>
      </c>
      <c r="AT105" s="87" t="str">
        <f t="shared" ca="1" si="308"/>
        <v>3D</v>
      </c>
      <c r="AU105" s="330" t="str">
        <f t="shared" ca="1" si="299"/>
        <v/>
      </c>
      <c r="AV105" s="182" t="str">
        <f t="shared" ca="1" si="300"/>
        <v>Haiti</v>
      </c>
      <c r="AW105" s="215"/>
      <c r="AX105" s="170"/>
      <c r="AY105" s="276"/>
      <c r="AZ105" s="279" t="str">
        <f t="shared" ca="1" si="303"/>
        <v/>
      </c>
      <c r="BA105" s="176"/>
      <c r="BF105" t="str">
        <f t="shared" ca="1" si="304"/>
        <v/>
      </c>
      <c r="BG105">
        <f t="shared" ca="1" si="305"/>
        <v>0</v>
      </c>
      <c r="BI105">
        <v>3</v>
      </c>
      <c r="BJ105" t="str">
        <f t="shared" ca="1" si="306"/>
        <v>Grupo</v>
      </c>
    </row>
    <row r="106" spans="1:62" ht="16" customHeight="1" x14ac:dyDescent="0.2">
      <c r="A106" s="16" t="s">
        <v>673</v>
      </c>
      <c r="B106" s="16" t="s">
        <v>685</v>
      </c>
      <c r="C106" s="16"/>
      <c r="D106" s="16" t="str">
        <f t="shared" si="289"/>
        <v>W77</v>
      </c>
      <c r="E106" s="16" t="s">
        <v>3</v>
      </c>
      <c r="F106" s="16" t="s">
        <v>448</v>
      </c>
      <c r="G106" s="16" t="s">
        <v>4</v>
      </c>
      <c r="H106" s="16">
        <f t="shared" ca="1" si="290"/>
        <v>0</v>
      </c>
      <c r="I106" s="16"/>
      <c r="J106" s="16">
        <v>78</v>
      </c>
      <c r="K106" s="16">
        <v>46203.75</v>
      </c>
      <c r="L106" s="16" t="s">
        <v>701</v>
      </c>
      <c r="M106" s="16" t="str">
        <f t="shared" ca="1" si="291"/>
        <v>2E</v>
      </c>
      <c r="N106" s="16" t="str">
        <f ca="1">+IFERROR(IF(OR(AND(LEFT(B106,1)="2",INDEX($H$101:$H$113,MATCH(F106,$G$101:$G$113,0))=12),AND(LEFT(B106,1)="2",$AJ$99=144)),INDEX($AL$6:$AL$97,MATCH(B106,$AI$6:$AI$97,0)),IF(OR(AND(LEFT(B106,1)="3",INDEX($H$101:$H$113,MATCH(F106,$G$101:$G$113,0))=144),AND(LEFT(B106,1)="3",$AJ$99=144)),INDEX(Combinaciones!$C$2:$J$496,MATCH(1,Combinaciones!$B$2:$B$496,0),MATCH(WORLDCUP!E106,Combinaciones!$C$1:$J$1,0)),B106)),B106)</f>
        <v>2I</v>
      </c>
      <c r="O106" s="16"/>
      <c r="P106" s="16"/>
      <c r="Q106" s="16"/>
      <c r="R106" s="16"/>
      <c r="S106" s="16"/>
      <c r="T106" s="16"/>
      <c r="U106" s="16"/>
      <c r="V106" s="17"/>
      <c r="W106" s="675"/>
      <c r="X106" s="24">
        <f ca="1">Horarios!C106</f>
        <v>46203.708333333336</v>
      </c>
      <c r="Y106" s="25">
        <f ca="1">Horarios!C106</f>
        <v>46203.708333333336</v>
      </c>
      <c r="Z106" s="280">
        <f t="shared" si="296"/>
        <v>77</v>
      </c>
      <c r="AA106" s="88" t="str">
        <f t="shared" ca="1" si="292"/>
        <v>1I</v>
      </c>
      <c r="AB106" s="89"/>
      <c r="AC106" s="92"/>
      <c r="AD106" s="92"/>
      <c r="AE106" s="89"/>
      <c r="AF106" s="91" t="str">
        <f t="shared" ca="1" si="293"/>
        <v>3CDFGH</v>
      </c>
      <c r="AG106" s="327">
        <f t="shared" si="294"/>
        <v>0</v>
      </c>
      <c r="AH106" s="195">
        <v>77</v>
      </c>
      <c r="AI106" s="182">
        <v>5</v>
      </c>
      <c r="AJ106" s="42">
        <v>5</v>
      </c>
      <c r="AK106" s="602" t="str" cm="1">
        <f t="array" aca="1" ref="AK106" ca="1">Ver_flag_visit</f>
        <v/>
      </c>
      <c r="AL106" s="85" t="str">
        <f t="shared" ca="1" si="297"/>
        <v>3E</v>
      </c>
      <c r="AM106" s="589" t="str">
        <f t="shared" ca="1" si="301"/>
        <v>3E</v>
      </c>
      <c r="AN106" s="86" t="str">
        <f t="shared" ref="AN106:AT106" ca="1" si="309">+IF($H$113&gt;=48,INDEX($BE$58:$BN$69,MATCH($AL106,$BD$58:$BD$69,0),MATCH(AN$5,$BE$57:$BN$57,0)),$BB62)</f>
        <v>3E</v>
      </c>
      <c r="AO106" s="86" t="str">
        <f t="shared" ca="1" si="309"/>
        <v>3E</v>
      </c>
      <c r="AP106" s="86" t="str">
        <f t="shared" ca="1" si="309"/>
        <v>3E</v>
      </c>
      <c r="AQ106" s="86" t="str">
        <f t="shared" ca="1" si="309"/>
        <v>3E</v>
      </c>
      <c r="AR106" s="86" t="str">
        <f t="shared" ca="1" si="309"/>
        <v>3E</v>
      </c>
      <c r="AS106" s="86" t="str">
        <f t="shared" ca="1" si="309"/>
        <v>3E</v>
      </c>
      <c r="AT106" s="87" t="str">
        <f t="shared" ca="1" si="309"/>
        <v>3E</v>
      </c>
      <c r="AU106" s="330" t="str">
        <f t="shared" ca="1" si="299"/>
        <v/>
      </c>
      <c r="AV106" s="182" t="str">
        <f t="shared" ca="1" si="300"/>
        <v>Iran</v>
      </c>
      <c r="AW106" s="215"/>
      <c r="AX106" s="170"/>
      <c r="AY106" s="276"/>
      <c r="AZ106" s="279" t="str">
        <f t="shared" ca="1" si="303"/>
        <v/>
      </c>
      <c r="BA106" s="176"/>
      <c r="BF106" t="str">
        <f t="shared" ca="1" si="304"/>
        <v/>
      </c>
      <c r="BG106">
        <f t="shared" ca="1" si="305"/>
        <v>0</v>
      </c>
      <c r="BI106">
        <v>4</v>
      </c>
      <c r="BJ106" t="str">
        <f t="shared" ca="1" si="306"/>
        <v>Grupo</v>
      </c>
    </row>
    <row r="107" spans="1:62" ht="16" customHeight="1" x14ac:dyDescent="0.2">
      <c r="A107" s="16" t="s">
        <v>656</v>
      </c>
      <c r="B107" s="16" t="s">
        <v>735</v>
      </c>
      <c r="C107" s="16"/>
      <c r="D107" s="16" t="str">
        <f t="shared" si="289"/>
        <v>W79</v>
      </c>
      <c r="E107" s="16" t="s">
        <v>0</v>
      </c>
      <c r="F107" s="16" t="s">
        <v>732</v>
      </c>
      <c r="G107" s="16" t="s">
        <v>6</v>
      </c>
      <c r="H107" s="16">
        <f t="shared" ca="1" si="290"/>
        <v>0</v>
      </c>
      <c r="I107" s="16"/>
      <c r="J107" s="16">
        <v>79</v>
      </c>
      <c r="K107" s="16">
        <v>46203.75</v>
      </c>
      <c r="L107" s="16" t="s">
        <v>702</v>
      </c>
      <c r="M107" s="16" t="str">
        <f t="shared" ca="1" si="291"/>
        <v>1A</v>
      </c>
      <c r="N107" s="16" t="str">
        <f ca="1">+IFERROR(IF(OR(AND(LEFT(B107,1)="2",INDEX($H$101:$H$113,MATCH(F107,$G$101:$G$113,0))=12),AND(LEFT(B107,1)="2",$AJ$99=144)),INDEX($AL$6:$AL$97,MATCH(B107,$AI$6:$AI$97,0)),IF(OR(AND(LEFT(B107,1)="3",INDEX($H$101:$H$113,MATCH(F107,$G$101:$G$113,0))=144),AND(LEFT(B107,1)="3",$AJ$99=144)),INDEX(Combinaciones!$C$2:$J$496,MATCH(1,Combinaciones!$B$2:$B$496,0),MATCH(WORLDCUP!E107,Combinaciones!$C$1:$J$1,0)),B107)),B107)</f>
        <v>3CEFHI</v>
      </c>
      <c r="O107" s="16"/>
      <c r="P107" s="16"/>
      <c r="Q107" s="16"/>
      <c r="R107" s="16"/>
      <c r="S107" s="16"/>
      <c r="T107" s="16"/>
      <c r="U107" s="16"/>
      <c r="V107" s="17"/>
      <c r="W107" s="675"/>
      <c r="X107" s="24">
        <f ca="1">Horarios!C107</f>
        <v>46203.875</v>
      </c>
      <c r="Y107" s="25">
        <f ca="1">Horarios!C107</f>
        <v>46203.875</v>
      </c>
      <c r="Z107" s="280">
        <f t="shared" si="296"/>
        <v>79</v>
      </c>
      <c r="AA107" s="88" t="str">
        <f t="shared" ca="1" si="292"/>
        <v>1A</v>
      </c>
      <c r="AB107" s="89"/>
      <c r="AC107" s="92"/>
      <c r="AD107" s="92"/>
      <c r="AE107" s="89"/>
      <c r="AF107" s="91" t="str">
        <f t="shared" ca="1" si="293"/>
        <v>3CEFHI</v>
      </c>
      <c r="AG107" s="327">
        <f t="shared" si="294"/>
        <v>0</v>
      </c>
      <c r="AH107" s="195">
        <v>79</v>
      </c>
      <c r="AI107" s="182">
        <v>6</v>
      </c>
      <c r="AJ107" s="42">
        <v>6</v>
      </c>
      <c r="AK107" s="602" t="str" cm="1">
        <f t="array" aca="1" ref="AK107" ca="1">Ver_flag_visit</f>
        <v/>
      </c>
      <c r="AL107" s="85" t="str">
        <f t="shared" ca="1" si="297"/>
        <v>3F</v>
      </c>
      <c r="AM107" s="589" t="str">
        <f t="shared" ca="1" si="301"/>
        <v>3F</v>
      </c>
      <c r="AN107" s="86" t="str">
        <f t="shared" ref="AN107:AT107" ca="1" si="310">+IF($H$113&gt;=48,INDEX($BE$58:$BN$69,MATCH($AL107,$BD$58:$BD$69,0),MATCH(AN$5,$BE$57:$BN$57,0)),$BB63)</f>
        <v>3F</v>
      </c>
      <c r="AO107" s="86" t="str">
        <f t="shared" ca="1" si="310"/>
        <v>3F</v>
      </c>
      <c r="AP107" s="86" t="str">
        <f t="shared" ca="1" si="310"/>
        <v>3F</v>
      </c>
      <c r="AQ107" s="86" t="str">
        <f t="shared" ca="1" si="310"/>
        <v>3F</v>
      </c>
      <c r="AR107" s="86" t="str">
        <f t="shared" ca="1" si="310"/>
        <v>3F</v>
      </c>
      <c r="AS107" s="86" t="str">
        <f t="shared" ca="1" si="310"/>
        <v>3F</v>
      </c>
      <c r="AT107" s="87" t="str">
        <f t="shared" ca="1" si="310"/>
        <v>3F</v>
      </c>
      <c r="AU107" s="330" t="str">
        <f t="shared" ca="1" si="299"/>
        <v/>
      </c>
      <c r="AV107" s="182" t="str">
        <f ca="1">INDEX($BD$58:$BD$69,MATCH(AI107,$BM$58:$BM$69,0))</f>
        <v>Iraq</v>
      </c>
      <c r="AW107" s="215"/>
      <c r="AX107" s="170"/>
      <c r="AY107" s="276"/>
      <c r="AZ107" s="279" t="str">
        <f t="shared" ca="1" si="303"/>
        <v/>
      </c>
      <c r="BA107" s="176"/>
      <c r="BF107" t="str">
        <f t="shared" ca="1" si="304"/>
        <v/>
      </c>
      <c r="BG107">
        <f t="shared" ca="1" si="305"/>
        <v>0</v>
      </c>
      <c r="BI107">
        <v>5</v>
      </c>
      <c r="BJ107" t="str">
        <f t="shared" ca="1" si="306"/>
        <v>Grupo</v>
      </c>
    </row>
    <row r="108" spans="1:62" ht="16" customHeight="1" x14ac:dyDescent="0.2">
      <c r="A108" s="16" t="s">
        <v>693</v>
      </c>
      <c r="B108" s="16" t="s">
        <v>736</v>
      </c>
      <c r="C108" s="16"/>
      <c r="D108" s="16" t="str">
        <f t="shared" si="289"/>
        <v>W80</v>
      </c>
      <c r="E108" s="16" t="s">
        <v>247</v>
      </c>
      <c r="F108" s="16" t="s">
        <v>732</v>
      </c>
      <c r="G108" s="16" t="s">
        <v>447</v>
      </c>
      <c r="H108" s="16">
        <f t="shared" ca="1" si="290"/>
        <v>0</v>
      </c>
      <c r="I108" s="16"/>
      <c r="J108" s="16">
        <v>80</v>
      </c>
      <c r="K108" s="16">
        <v>46204.75</v>
      </c>
      <c r="L108" s="16" t="s">
        <v>703</v>
      </c>
      <c r="M108" s="16" t="str">
        <f t="shared" ca="1" si="291"/>
        <v>1L</v>
      </c>
      <c r="N108" s="16" t="str">
        <f ca="1">+IFERROR(IF(OR(AND(LEFT(B108,1)="2",INDEX($H$101:$H$113,MATCH(F108,$G$101:$G$113,0))=12),AND(LEFT(B108,1)="2",$AJ$99=144)),INDEX($AL$6:$AL$97,MATCH(B108,$AI$6:$AI$97,0)),IF(OR(AND(LEFT(B108,1)="3",INDEX($H$101:$H$113,MATCH(F108,$G$101:$G$113,0))=144),AND(LEFT(B108,1)="3",$AJ$99=144)),INDEX(Combinaciones!$C$2:$J$496,MATCH(1,Combinaciones!$B$2:$B$496,0),MATCH(WORLDCUP!E108,Combinaciones!$C$1:$J$1,0)),B108)),B108)</f>
        <v>3EHIJK</v>
      </c>
      <c r="O108" s="16"/>
      <c r="P108" s="16"/>
      <c r="Q108" s="16"/>
      <c r="R108" s="16"/>
      <c r="S108" s="16"/>
      <c r="T108" s="16"/>
      <c r="U108" s="16"/>
      <c r="V108" s="17"/>
      <c r="W108" s="675"/>
      <c r="X108" s="24">
        <f ca="1">Horarios!C108</f>
        <v>46204.5</v>
      </c>
      <c r="Y108" s="25">
        <f ca="1">Horarios!C108</f>
        <v>46204.5</v>
      </c>
      <c r="Z108" s="280">
        <f t="shared" si="296"/>
        <v>80</v>
      </c>
      <c r="AA108" s="88" t="str">
        <f t="shared" ca="1" si="292"/>
        <v>1L</v>
      </c>
      <c r="AB108" s="89"/>
      <c r="AC108" s="92"/>
      <c r="AD108" s="92"/>
      <c r="AE108" s="89"/>
      <c r="AF108" s="91" t="str">
        <f t="shared" ca="1" si="293"/>
        <v>3EHIJK</v>
      </c>
      <c r="AG108" s="327">
        <f t="shared" si="294"/>
        <v>0</v>
      </c>
      <c r="AH108" s="195">
        <v>80</v>
      </c>
      <c r="AI108" s="182">
        <v>7</v>
      </c>
      <c r="AJ108" s="42">
        <v>7</v>
      </c>
      <c r="AK108" s="602" t="str" cm="1">
        <f t="array" aca="1" ref="AK108" ca="1">Ver_flag_visit</f>
        <v/>
      </c>
      <c r="AL108" s="85" t="str">
        <f t="shared" ca="1" si="297"/>
        <v>3G</v>
      </c>
      <c r="AM108" s="589" t="str">
        <f t="shared" ca="1" si="301"/>
        <v>3G</v>
      </c>
      <c r="AN108" s="86" t="str">
        <f t="shared" ref="AN108:AT108" ca="1" si="311">+IF($H$113&gt;=48,INDEX($BE$58:$BN$69,MATCH($AL108,$BD$58:$BD$69,0),MATCH(AN$5,$BE$57:$BN$57,0)),$BB64)</f>
        <v>3G</v>
      </c>
      <c r="AO108" s="86" t="str">
        <f t="shared" ca="1" si="311"/>
        <v>3G</v>
      </c>
      <c r="AP108" s="86" t="str">
        <f t="shared" ca="1" si="311"/>
        <v>3G</v>
      </c>
      <c r="AQ108" s="86" t="str">
        <f t="shared" ca="1" si="311"/>
        <v>3G</v>
      </c>
      <c r="AR108" s="86" t="str">
        <f t="shared" ca="1" si="311"/>
        <v>3G</v>
      </c>
      <c r="AS108" s="86" t="str">
        <f t="shared" ca="1" si="311"/>
        <v>3G</v>
      </c>
      <c r="AT108" s="87" t="str">
        <f t="shared" ca="1" si="311"/>
        <v>3G</v>
      </c>
      <c r="AU108" s="330" t="str">
        <f t="shared" ca="1" si="299"/>
        <v/>
      </c>
      <c r="AV108" s="182" t="str">
        <f t="shared" ca="1" si="300"/>
        <v>Ivory Coast</v>
      </c>
      <c r="AW108" s="215"/>
      <c r="AX108" s="170"/>
      <c r="AY108" s="276"/>
      <c r="AZ108" s="279" t="str">
        <f t="shared" ca="1" si="303"/>
        <v/>
      </c>
      <c r="BA108" s="176"/>
      <c r="BF108" t="str">
        <f t="shared" ca="1" si="304"/>
        <v/>
      </c>
      <c r="BG108">
        <f t="shared" ca="1" si="305"/>
        <v>0</v>
      </c>
      <c r="BI108">
        <v>6</v>
      </c>
      <c r="BJ108" t="str">
        <f t="shared" ca="1" si="306"/>
        <v>Grupo</v>
      </c>
    </row>
    <row r="109" spans="1:62" ht="16" customHeight="1" x14ac:dyDescent="0.2">
      <c r="A109" s="16" t="s">
        <v>669</v>
      </c>
      <c r="B109" s="16" t="s">
        <v>737</v>
      </c>
      <c r="C109" s="16"/>
      <c r="D109" s="16" t="str">
        <f t="shared" si="289"/>
        <v>W82</v>
      </c>
      <c r="E109" s="16" t="s">
        <v>74</v>
      </c>
      <c r="F109" s="16" t="s">
        <v>732</v>
      </c>
      <c r="G109" s="16" t="s">
        <v>448</v>
      </c>
      <c r="H109" s="16">
        <f t="shared" ca="1" si="290"/>
        <v>0</v>
      </c>
      <c r="I109" s="16"/>
      <c r="J109" s="16">
        <v>81</v>
      </c>
      <c r="K109" s="16">
        <v>46204.75</v>
      </c>
      <c r="L109" s="16" t="s">
        <v>704</v>
      </c>
      <c r="M109" s="16" t="str">
        <f t="shared" ca="1" si="291"/>
        <v>1D</v>
      </c>
      <c r="N109" s="16" t="str">
        <f ca="1">+IFERROR(IF(OR(AND(LEFT(B109,1)="2",INDEX($H$101:$H$113,MATCH(F109,$G$101:$G$113,0))=12),AND(LEFT(B109,1)="2",$AJ$99=144)),INDEX($AL$6:$AL$97,MATCH(B109,$AI$6:$AI$97,0)),IF(OR(AND(LEFT(B109,1)="3",INDEX($H$101:$H$113,MATCH(F109,$G$101:$G$113,0))=144),AND(LEFT(B109,1)="3",$AJ$99=144)),INDEX(Combinaciones!$C$2:$J$496,MATCH(1,Combinaciones!$B$2:$B$496,0),MATCH(WORLDCUP!E109,Combinaciones!$C$1:$J$1,0)),B109)),B109)</f>
        <v>3BEFIJ</v>
      </c>
      <c r="O109" s="16"/>
      <c r="P109" s="16"/>
      <c r="Q109" s="16"/>
      <c r="R109" s="16"/>
      <c r="S109" s="16"/>
      <c r="T109" s="16"/>
      <c r="U109" s="16"/>
      <c r="V109" s="17"/>
      <c r="W109" s="675"/>
      <c r="X109" s="24">
        <f ca="1">Horarios!C109</f>
        <v>46204.666666666664</v>
      </c>
      <c r="Y109" s="25">
        <f ca="1">Horarios!C109</f>
        <v>46204.666666666664</v>
      </c>
      <c r="Z109" s="280">
        <f t="shared" si="296"/>
        <v>82</v>
      </c>
      <c r="AA109" s="88" t="str">
        <f t="shared" ca="1" si="292"/>
        <v>1G</v>
      </c>
      <c r="AB109" s="89"/>
      <c r="AC109" s="92"/>
      <c r="AD109" s="92"/>
      <c r="AE109" s="89"/>
      <c r="AF109" s="91" t="str">
        <f t="shared" ca="1" si="293"/>
        <v>3AEHIJ</v>
      </c>
      <c r="AG109" s="327">
        <f t="shared" si="294"/>
        <v>0</v>
      </c>
      <c r="AH109" s="195">
        <v>82</v>
      </c>
      <c r="AI109" s="182">
        <v>8</v>
      </c>
      <c r="AJ109" s="42">
        <v>8</v>
      </c>
      <c r="AK109" s="602" t="str" cm="1">
        <f t="array" aca="1" ref="AK109" ca="1">Ver_flag_visit</f>
        <v/>
      </c>
      <c r="AL109" s="85" t="str">
        <f t="shared" ca="1" si="297"/>
        <v>3H</v>
      </c>
      <c r="AM109" s="589" t="str">
        <f t="shared" ca="1" si="301"/>
        <v>3H</v>
      </c>
      <c r="AN109" s="86" t="str">
        <f t="shared" ref="AN109:AT109" ca="1" si="312">+IF($H$113&gt;=48,INDEX($BE$58:$BN$69,MATCH($AL109,$BD$58:$BD$69,0),MATCH(AN$5,$BE$57:$BN$57,0)),$BB65)</f>
        <v>3H</v>
      </c>
      <c r="AO109" s="86" t="str">
        <f t="shared" ca="1" si="312"/>
        <v>3H</v>
      </c>
      <c r="AP109" s="86" t="str">
        <f t="shared" ca="1" si="312"/>
        <v>3H</v>
      </c>
      <c r="AQ109" s="86" t="str">
        <f t="shared" ca="1" si="312"/>
        <v>3H</v>
      </c>
      <c r="AR109" s="86" t="str">
        <f t="shared" ca="1" si="312"/>
        <v>3H</v>
      </c>
      <c r="AS109" s="86" t="str">
        <f t="shared" ca="1" si="312"/>
        <v>3H</v>
      </c>
      <c r="AT109" s="87" t="str">
        <f t="shared" ca="1" si="312"/>
        <v>3H</v>
      </c>
      <c r="AU109" s="330" t="str">
        <f t="shared" ca="1" si="299"/>
        <v/>
      </c>
      <c r="AV109" s="182" t="str">
        <f t="shared" ca="1" si="300"/>
        <v>Qatar</v>
      </c>
      <c r="AW109" s="215"/>
      <c r="AX109" s="170"/>
      <c r="AY109" s="276"/>
      <c r="AZ109" s="279" t="str">
        <f t="shared" ca="1" si="303"/>
        <v/>
      </c>
      <c r="BA109" s="176"/>
      <c r="BF109" t="str">
        <f t="shared" ca="1" si="304"/>
        <v/>
      </c>
      <c r="BG109">
        <f t="shared" ca="1" si="305"/>
        <v>0</v>
      </c>
      <c r="BI109">
        <v>7</v>
      </c>
      <c r="BJ109" t="str">
        <f t="shared" ca="1" si="306"/>
        <v>Grupo</v>
      </c>
    </row>
    <row r="110" spans="1:62" ht="16" customHeight="1" x14ac:dyDescent="0.2">
      <c r="A110" s="16" t="s">
        <v>678</v>
      </c>
      <c r="B110" s="16" t="s">
        <v>738</v>
      </c>
      <c r="C110" s="16"/>
      <c r="D110" s="16" t="str">
        <f t="shared" si="289"/>
        <v>W81</v>
      </c>
      <c r="E110" s="16" t="s">
        <v>6</v>
      </c>
      <c r="F110" s="16" t="s">
        <v>732</v>
      </c>
      <c r="G110" s="16" t="s">
        <v>5</v>
      </c>
      <c r="H110" s="16">
        <f t="shared" ca="1" si="290"/>
        <v>0</v>
      </c>
      <c r="I110" s="16"/>
      <c r="J110" s="16">
        <v>82</v>
      </c>
      <c r="K110" s="16">
        <v>46204.75</v>
      </c>
      <c r="L110" s="16" t="s">
        <v>705</v>
      </c>
      <c r="M110" s="16" t="str">
        <f t="shared" ca="1" si="291"/>
        <v>1G</v>
      </c>
      <c r="N110" s="16" t="str">
        <f ca="1">+IFERROR(IF(OR(AND(LEFT(B110,1)="2",INDEX($H$101:$H$113,MATCH(F110,$G$101:$G$113,0))=12),AND(LEFT(B110,1)="2",$AJ$99=144)),INDEX($AL$6:$AL$97,MATCH(B110,$AI$6:$AI$97,0)),IF(OR(AND(LEFT(B110,1)="3",INDEX($H$101:$H$113,MATCH(F110,$G$101:$G$113,0))=144),AND(LEFT(B110,1)="3",$AJ$99=144)),INDEX(Combinaciones!$C$2:$J$496,MATCH(1,Combinaciones!$B$2:$B$496,0),MATCH(WORLDCUP!E110,Combinaciones!$C$1:$J$1,0)),B110)),B110)</f>
        <v>3AEHIJ</v>
      </c>
      <c r="O110" s="16"/>
      <c r="P110" s="16"/>
      <c r="Q110" s="16"/>
      <c r="R110" s="16"/>
      <c r="S110" s="16"/>
      <c r="T110" s="16"/>
      <c r="U110" s="16"/>
      <c r="V110" s="17"/>
      <c r="W110" s="675"/>
      <c r="X110" s="24">
        <f ca="1">Horarios!C110</f>
        <v>46204.833333333336</v>
      </c>
      <c r="Y110" s="25">
        <f ca="1">Horarios!C110</f>
        <v>46204.833333333336</v>
      </c>
      <c r="Z110" s="280">
        <f t="shared" si="296"/>
        <v>81</v>
      </c>
      <c r="AA110" s="88" t="str">
        <f t="shared" ca="1" si="292"/>
        <v>1D</v>
      </c>
      <c r="AB110" s="89"/>
      <c r="AC110" s="92"/>
      <c r="AD110" s="92"/>
      <c r="AE110" s="89"/>
      <c r="AF110" s="91" t="str">
        <f t="shared" ca="1" si="293"/>
        <v>3BEFIJ</v>
      </c>
      <c r="AG110" s="327">
        <f t="shared" si="294"/>
        <v>0</v>
      </c>
      <c r="AH110" s="195">
        <v>81</v>
      </c>
      <c r="AI110" s="182">
        <v>9</v>
      </c>
      <c r="AJ110" s="42">
        <v>9</v>
      </c>
      <c r="AK110" s="602" t="str" cm="1">
        <f t="array" aca="1" ref="AK110" ca="1">Ver_flag_visit</f>
        <v/>
      </c>
      <c r="AL110" s="85" t="str">
        <f t="shared" ca="1" si="297"/>
        <v>3I</v>
      </c>
      <c r="AM110" s="589" t="str">
        <f t="shared" ca="1" si="301"/>
        <v>3I</v>
      </c>
      <c r="AN110" s="86" t="str">
        <f t="shared" ref="AN110:AT110" ca="1" si="313">+IF($H$113&gt;=48,INDEX($BE$58:$BN$69,MATCH($AL110,$BD$58:$BD$69,0),MATCH(AN$5,$BE$57:$BN$57,0)),$BB66)</f>
        <v>3I</v>
      </c>
      <c r="AO110" s="86" t="str">
        <f t="shared" ca="1" si="313"/>
        <v>3I</v>
      </c>
      <c r="AP110" s="86" t="str">
        <f t="shared" ca="1" si="313"/>
        <v>3I</v>
      </c>
      <c r="AQ110" s="86" t="str">
        <f t="shared" ca="1" si="313"/>
        <v>3I</v>
      </c>
      <c r="AR110" s="86" t="str">
        <f t="shared" ca="1" si="313"/>
        <v>3I</v>
      </c>
      <c r="AS110" s="86" t="str">
        <f t="shared" ca="1" si="313"/>
        <v>3I</v>
      </c>
      <c r="AT110" s="87" t="str">
        <f t="shared" ca="1" si="313"/>
        <v>3I</v>
      </c>
      <c r="AU110" s="330" t="str">
        <f t="shared" ca="1" si="299"/>
        <v/>
      </c>
      <c r="AV110" s="182" t="str">
        <f t="shared" ca="1" si="300"/>
        <v>Saudi Arabia</v>
      </c>
      <c r="AW110" s="215"/>
      <c r="AX110" s="170"/>
      <c r="AY110" s="276"/>
      <c r="AZ110" s="279" t="str">
        <f t="shared" ca="1" si="303"/>
        <v/>
      </c>
      <c r="BA110" s="176"/>
      <c r="BF110" t="str">
        <f t="shared" ca="1" si="304"/>
        <v/>
      </c>
      <c r="BG110">
        <f t="shared" ca="1" si="305"/>
        <v>0</v>
      </c>
      <c r="BI110">
        <v>8</v>
      </c>
      <c r="BJ110" t="str">
        <f t="shared" ca="1" si="306"/>
        <v>Grupo</v>
      </c>
    </row>
    <row r="111" spans="1:62" ht="16" customHeight="1" x14ac:dyDescent="0.2">
      <c r="A111" s="16" t="s">
        <v>691</v>
      </c>
      <c r="B111" s="16" t="s">
        <v>694</v>
      </c>
      <c r="C111" s="16"/>
      <c r="D111" s="16" t="str">
        <f t="shared" si="289"/>
        <v>W84</v>
      </c>
      <c r="E111" s="16" t="s">
        <v>449</v>
      </c>
      <c r="F111" s="16" t="s">
        <v>247</v>
      </c>
      <c r="G111" s="16" t="s">
        <v>449</v>
      </c>
      <c r="H111" s="16">
        <f t="shared" ca="1" si="290"/>
        <v>0</v>
      </c>
      <c r="I111" s="16"/>
      <c r="J111" s="16">
        <v>83</v>
      </c>
      <c r="K111" s="16">
        <v>46205.75</v>
      </c>
      <c r="L111" s="16" t="s">
        <v>706</v>
      </c>
      <c r="M111" s="16" t="str">
        <f t="shared" ca="1" si="291"/>
        <v>2K</v>
      </c>
      <c r="N111" s="16" t="str">
        <f ca="1">+IFERROR(IF(OR(AND(LEFT(B111,1)="2",INDEX($H$101:$H$113,MATCH(F111,$G$101:$G$113,0))=12),AND(LEFT(B111,1)="2",$AJ$99=144)),INDEX($AL$6:$AL$97,MATCH(B111,$AI$6:$AI$97,0)),IF(OR(AND(LEFT(B111,1)="3",INDEX($H$101:$H$113,MATCH(F111,$G$101:$G$113,0))=144),AND(LEFT(B111,1)="3",$AJ$99=144)),INDEX(Combinaciones!$C$2:$J$496,MATCH(1,Combinaciones!$B$2:$B$496,0),MATCH(WORLDCUP!E111,Combinaciones!$C$1:$J$1,0)),B111)),B111)</f>
        <v>2L</v>
      </c>
      <c r="O111" s="16"/>
      <c r="P111" s="16"/>
      <c r="Q111" s="16"/>
      <c r="R111" s="16"/>
      <c r="S111" s="16"/>
      <c r="T111" s="16"/>
      <c r="U111" s="16"/>
      <c r="V111" s="17"/>
      <c r="W111" s="675"/>
      <c r="X111" s="24">
        <f ca="1">Horarios!C111</f>
        <v>46205.625</v>
      </c>
      <c r="Y111" s="25">
        <f ca="1">Horarios!C111</f>
        <v>46205.625</v>
      </c>
      <c r="Z111" s="280">
        <f t="shared" si="296"/>
        <v>84</v>
      </c>
      <c r="AA111" s="88" t="str">
        <f t="shared" ca="1" si="292"/>
        <v>1H</v>
      </c>
      <c r="AB111" s="89"/>
      <c r="AC111" s="92"/>
      <c r="AD111" s="92"/>
      <c r="AE111" s="89"/>
      <c r="AF111" s="91" t="str">
        <f t="shared" ca="1" si="293"/>
        <v>2J</v>
      </c>
      <c r="AG111" s="327">
        <f t="shared" si="294"/>
        <v>0</v>
      </c>
      <c r="AH111" s="195">
        <v>84</v>
      </c>
      <c r="AI111" s="182">
        <v>10</v>
      </c>
      <c r="AJ111" s="42">
        <v>10</v>
      </c>
      <c r="AK111" s="602" t="str" cm="1">
        <f t="array" aca="1" ref="AK111" ca="1">Ver_flag_visit</f>
        <v/>
      </c>
      <c r="AL111" s="85" t="str">
        <f t="shared" ca="1" si="297"/>
        <v>3J</v>
      </c>
      <c r="AM111" s="589" t="str">
        <f t="shared" ca="1" si="301"/>
        <v>3J</v>
      </c>
      <c r="AN111" s="86" t="str">
        <f t="shared" ref="AN111:AT111" ca="1" si="314">+IF($H$113&gt;=48,INDEX($BE$58:$BN$69,MATCH($AL111,$BD$58:$BD$69,0),MATCH(AN$5,$BE$57:$BN$57,0)),$BB67)</f>
        <v>3J</v>
      </c>
      <c r="AO111" s="86" t="str">
        <f t="shared" ca="1" si="314"/>
        <v>3J</v>
      </c>
      <c r="AP111" s="86" t="str">
        <f t="shared" ca="1" si="314"/>
        <v>3J</v>
      </c>
      <c r="AQ111" s="86" t="str">
        <f t="shared" ca="1" si="314"/>
        <v>3J</v>
      </c>
      <c r="AR111" s="86" t="str">
        <f t="shared" ca="1" si="314"/>
        <v>3J</v>
      </c>
      <c r="AS111" s="86" t="str">
        <f t="shared" ca="1" si="314"/>
        <v>3J</v>
      </c>
      <c r="AT111" s="87" t="str">
        <f t="shared" ca="1" si="314"/>
        <v>3J</v>
      </c>
      <c r="AU111" s="330" t="str">
        <f t="shared" ca="1" si="299"/>
        <v/>
      </c>
      <c r="AV111" s="182" t="str">
        <f t="shared" ca="1" si="300"/>
        <v>South Korea</v>
      </c>
      <c r="AW111" s="215"/>
      <c r="AX111" s="170"/>
      <c r="AY111" s="275"/>
      <c r="AZ111" s="275"/>
      <c r="BA111" s="176"/>
      <c r="BI111" t="s">
        <v>87</v>
      </c>
    </row>
    <row r="112" spans="1:62" ht="16" customHeight="1" x14ac:dyDescent="0.2">
      <c r="A112" s="16" t="s">
        <v>681</v>
      </c>
      <c r="B112" s="16" t="s">
        <v>688</v>
      </c>
      <c r="C112" s="16"/>
      <c r="D112" s="16" t="str">
        <f t="shared" si="289"/>
        <v>W83</v>
      </c>
      <c r="E112" s="16" t="s">
        <v>447</v>
      </c>
      <c r="F112" s="16" t="s">
        <v>5</v>
      </c>
      <c r="G112" s="16" t="s">
        <v>247</v>
      </c>
      <c r="H112" s="16">
        <f t="shared" ca="1" si="290"/>
        <v>0</v>
      </c>
      <c r="I112" s="16"/>
      <c r="J112" s="16">
        <v>84</v>
      </c>
      <c r="K112" s="16">
        <v>46205.75</v>
      </c>
      <c r="L112" s="16" t="s">
        <v>707</v>
      </c>
      <c r="M112" s="16" t="str">
        <f t="shared" ca="1" si="291"/>
        <v>1H</v>
      </c>
      <c r="N112" s="16" t="str">
        <f ca="1">+IFERROR(IF(OR(AND(LEFT(B112,1)="2",INDEX($H$101:$H$113,MATCH(F112,$G$101:$G$113,0))=12),AND(LEFT(B112,1)="2",$AJ$99=144)),INDEX($AL$6:$AL$97,MATCH(B112,$AI$6:$AI$97,0)),IF(OR(AND(LEFT(B112,1)="3",INDEX($H$101:$H$113,MATCH(F112,$G$101:$G$113,0))=144),AND(LEFT(B112,1)="3",$AJ$99=144)),INDEX(Combinaciones!$C$2:$J$496,MATCH(1,Combinaciones!$B$2:$B$496,0),MATCH(WORLDCUP!E112,Combinaciones!$C$1:$J$1,0)),B112)),B112)</f>
        <v>2J</v>
      </c>
      <c r="O112" s="16"/>
      <c r="P112" s="16"/>
      <c r="Q112" s="16"/>
      <c r="R112" s="16"/>
      <c r="S112" s="16"/>
      <c r="T112" s="16"/>
      <c r="U112" s="16"/>
      <c r="V112" s="17"/>
      <c r="W112" s="675"/>
      <c r="X112" s="24">
        <f ca="1">Horarios!C112</f>
        <v>46205.791666666664</v>
      </c>
      <c r="Y112" s="25">
        <f ca="1">Horarios!C112</f>
        <v>46205.791666666664</v>
      </c>
      <c r="Z112" s="280">
        <f t="shared" si="296"/>
        <v>83</v>
      </c>
      <c r="AA112" s="88" t="str">
        <f t="shared" ca="1" si="292"/>
        <v>2K</v>
      </c>
      <c r="AB112" s="89"/>
      <c r="AC112" s="92"/>
      <c r="AD112" s="92"/>
      <c r="AE112" s="89"/>
      <c r="AF112" s="91" t="str">
        <f t="shared" ca="1" si="293"/>
        <v>2L</v>
      </c>
      <c r="AG112" s="327">
        <f t="shared" si="294"/>
        <v>0</v>
      </c>
      <c r="AH112" s="195">
        <v>83</v>
      </c>
      <c r="AI112" s="182">
        <v>11</v>
      </c>
      <c r="AJ112" s="42">
        <v>11</v>
      </c>
      <c r="AK112" s="602" t="str" cm="1">
        <f t="array" aca="1" ref="AK112" ca="1">Ver_flag_visit</f>
        <v/>
      </c>
      <c r="AL112" s="85" t="str">
        <f t="shared" ca="1" si="297"/>
        <v>3K</v>
      </c>
      <c r="AM112" s="589" t="str">
        <f t="shared" ca="1" si="301"/>
        <v>3K</v>
      </c>
      <c r="AN112" s="86" t="str">
        <f t="shared" ref="AN112:AT112" ca="1" si="315">+IF($H$113&gt;=48,INDEX($BE$58:$BN$69,MATCH($AL112,$BD$58:$BD$69,0),MATCH(AN$5,$BE$57:$BN$57,0)),$BB68)</f>
        <v>3K</v>
      </c>
      <c r="AO112" s="86" t="str">
        <f t="shared" ca="1" si="315"/>
        <v>3K</v>
      </c>
      <c r="AP112" s="86" t="str">
        <f t="shared" ca="1" si="315"/>
        <v>3K</v>
      </c>
      <c r="AQ112" s="86" t="str">
        <f t="shared" ca="1" si="315"/>
        <v>3K</v>
      </c>
      <c r="AR112" s="86" t="str">
        <f t="shared" ca="1" si="315"/>
        <v>3K</v>
      </c>
      <c r="AS112" s="86" t="str">
        <f t="shared" ca="1" si="315"/>
        <v>3K</v>
      </c>
      <c r="AT112" s="87" t="str">
        <f t="shared" ca="1" si="315"/>
        <v>3K</v>
      </c>
      <c r="AU112" s="330" t="str">
        <f t="shared" ca="1" si="299"/>
        <v/>
      </c>
      <c r="AV112" s="182" t="str">
        <f t="shared" ca="1" si="300"/>
        <v>Sweden</v>
      </c>
      <c r="AW112" s="215"/>
      <c r="AX112" s="170"/>
      <c r="AY112" s="275"/>
      <c r="AZ112" s="275"/>
      <c r="BA112" s="176"/>
      <c r="BI112" t="str">
        <f ca="1">IFERROR(CONCATENATE(BJ103,BJ104,BJ105,BJ106,BJ107,BJ108,BJ109,BJ110),"¿A/B/C/D/E/F/G/H/I/J/K/L?")</f>
        <v>GrupoGrupoGrupoGrupoGrupoGrupoGrupoGrupo</v>
      </c>
    </row>
    <row r="113" spans="1:59" ht="16" customHeight="1" thickBot="1" x14ac:dyDescent="0.25">
      <c r="A113" s="16" t="s">
        <v>659</v>
      </c>
      <c r="B113" s="16" t="s">
        <v>739</v>
      </c>
      <c r="C113" s="16"/>
      <c r="D113" s="16" t="str">
        <f t="shared" si="289"/>
        <v>W85</v>
      </c>
      <c r="E113" s="16" t="s">
        <v>1</v>
      </c>
      <c r="F113" s="16" t="s">
        <v>732</v>
      </c>
      <c r="G113" s="16" t="s">
        <v>732</v>
      </c>
      <c r="H113" s="16">
        <f ca="1">+IF($AJ$99&lt;&gt;144,SUM(H101:H112),$AJ$99)</f>
        <v>0</v>
      </c>
      <c r="I113" s="16"/>
      <c r="J113" s="16">
        <v>85</v>
      </c>
      <c r="K113" s="16">
        <v>46205.75</v>
      </c>
      <c r="L113" s="16" t="s">
        <v>708</v>
      </c>
      <c r="M113" s="16" t="str">
        <f t="shared" ca="1" si="291"/>
        <v>1B</v>
      </c>
      <c r="N113" s="16" t="str">
        <f ca="1">+IFERROR(IF(OR(AND(LEFT(B113,1)="2",INDEX($H$101:$H$113,MATCH(F113,$G$101:$G$113,0))=12),AND(LEFT(B113,1)="2",$AJ$99=144)),INDEX($AL$6:$AL$97,MATCH(B113,$AI$6:$AI$97,0)),IF(OR(AND(LEFT(B113,1)="3",INDEX($H$101:$H$113,MATCH(F113,$G$101:$G$113,0))=144),AND(LEFT(B113,1)="3",$AJ$99=144)),INDEX(Combinaciones!$C$2:$J$496,MATCH(1,Combinaciones!$B$2:$B$496,0),MATCH(WORLDCUP!E113,Combinaciones!$C$1:$J$1,0)),B113)),B113)</f>
        <v>3EFGIJ</v>
      </c>
      <c r="O113" s="16"/>
      <c r="P113" s="16"/>
      <c r="Q113" s="16"/>
      <c r="R113" s="16"/>
      <c r="S113" s="16"/>
      <c r="T113" s="16"/>
      <c r="U113" s="16"/>
      <c r="V113" s="17"/>
      <c r="W113" s="675"/>
      <c r="X113" s="24">
        <f ca="1">Horarios!C113</f>
        <v>46205.958333333336</v>
      </c>
      <c r="Y113" s="25">
        <f ca="1">Horarios!C113</f>
        <v>46205.958333333336</v>
      </c>
      <c r="Z113" s="280">
        <f t="shared" si="296"/>
        <v>85</v>
      </c>
      <c r="AA113" s="88" t="str">
        <f t="shared" ca="1" si="292"/>
        <v>1B</v>
      </c>
      <c r="AB113" s="89"/>
      <c r="AC113" s="92"/>
      <c r="AD113" s="92"/>
      <c r="AE113" s="90"/>
      <c r="AF113" s="91" t="str">
        <f t="shared" ca="1" si="293"/>
        <v>3EFGIJ</v>
      </c>
      <c r="AG113" s="327">
        <f t="shared" si="294"/>
        <v>0</v>
      </c>
      <c r="AH113" s="195">
        <v>85</v>
      </c>
      <c r="AI113" s="182">
        <v>12</v>
      </c>
      <c r="AJ113" s="44">
        <v>12</v>
      </c>
      <c r="AK113" s="604" t="str" cm="1">
        <f t="array" aca="1" ref="AK113" ca="1">Ver_flag_visit</f>
        <v/>
      </c>
      <c r="AL113" s="45" t="str">
        <f t="shared" ca="1" si="297"/>
        <v>3L</v>
      </c>
      <c r="AM113" s="590" t="str">
        <f t="shared" ca="1" si="301"/>
        <v>3L</v>
      </c>
      <c r="AN113" s="47" t="str">
        <f t="shared" ref="AN113:AT113" ca="1" si="316">+IF($H$113&gt;=48,INDEX($BE$58:$BN$69,MATCH($AL113,$BD$58:$BD$69,0),MATCH(AN$5,$BE$57:$BN$57,0)),$BB69)</f>
        <v>3L</v>
      </c>
      <c r="AO113" s="47" t="str">
        <f t="shared" ca="1" si="316"/>
        <v>3L</v>
      </c>
      <c r="AP113" s="47" t="str">
        <f t="shared" ca="1" si="316"/>
        <v>3L</v>
      </c>
      <c r="AQ113" s="47" t="str">
        <f t="shared" ca="1" si="316"/>
        <v>3L</v>
      </c>
      <c r="AR113" s="47" t="str">
        <f t="shared" ca="1" si="316"/>
        <v>3L</v>
      </c>
      <c r="AS113" s="47" t="str">
        <f t="shared" ca="1" si="316"/>
        <v>3L</v>
      </c>
      <c r="AT113" s="48" t="str">
        <f t="shared" ca="1" si="316"/>
        <v>3L</v>
      </c>
      <c r="AU113" s="330" t="str">
        <f t="shared" ca="1" si="299"/>
        <v/>
      </c>
      <c r="AV113" s="182" t="str">
        <f t="shared" ca="1" si="300"/>
        <v>Uzbekistan</v>
      </c>
      <c r="AW113" s="215"/>
      <c r="AX113" s="170"/>
      <c r="AY113" s="154"/>
      <c r="AZ113" s="155"/>
      <c r="BA113" s="176"/>
    </row>
    <row r="114" spans="1:59" ht="16" customHeight="1" x14ac:dyDescent="0.2">
      <c r="A114" s="16" t="s">
        <v>687</v>
      </c>
      <c r="B114" s="16" t="s">
        <v>682</v>
      </c>
      <c r="C114" s="16"/>
      <c r="D114" s="16" t="str">
        <f t="shared" si="289"/>
        <v>W88</v>
      </c>
      <c r="E114" s="16" t="s">
        <v>5</v>
      </c>
      <c r="F114" s="16" t="s">
        <v>447</v>
      </c>
      <c r="G114" s="16"/>
      <c r="H114" s="16"/>
      <c r="I114" s="16"/>
      <c r="J114" s="16">
        <v>86</v>
      </c>
      <c r="K114" s="16">
        <v>46206.75</v>
      </c>
      <c r="L114" s="16" t="s">
        <v>709</v>
      </c>
      <c r="M114" s="16" t="str">
        <f t="shared" ca="1" si="291"/>
        <v>1J</v>
      </c>
      <c r="N114" s="16" t="str">
        <f ca="1">+IFERROR(IF(OR(AND(LEFT(B114,1)="2",INDEX($H$101:$H$113,MATCH(F114,$G$101:$G$113,0))=12),AND(LEFT(B114,1)="2",$AJ$99=144)),INDEX($AL$6:$AL$97,MATCH(B114,$AI$6:$AI$97,0)),IF(OR(AND(LEFT(B114,1)="3",INDEX($H$101:$H$113,MATCH(F114,$G$101:$G$113,0))=144),AND(LEFT(B114,1)="3",$AJ$99=144)),INDEX(Combinaciones!$C$2:$J$496,MATCH(1,Combinaciones!$B$2:$B$496,0),MATCH(WORLDCUP!E114,Combinaciones!$C$1:$J$1,0)),B114)),B114)</f>
        <v>2H</v>
      </c>
      <c r="O114" s="16"/>
      <c r="P114" s="16"/>
      <c r="Q114" s="16"/>
      <c r="R114" s="16"/>
      <c r="S114" s="16"/>
      <c r="T114" s="16"/>
      <c r="U114" s="16"/>
      <c r="V114" s="17"/>
      <c r="W114" s="675"/>
      <c r="X114" s="24">
        <f ca="1">Horarios!C114</f>
        <v>46206.583333333336</v>
      </c>
      <c r="Y114" s="25">
        <f ca="1">Horarios!C114</f>
        <v>46206.583333333336</v>
      </c>
      <c r="Z114" s="280">
        <f t="shared" si="296"/>
        <v>88</v>
      </c>
      <c r="AA114" s="88" t="str">
        <f t="shared" ca="1" si="292"/>
        <v>2D</v>
      </c>
      <c r="AB114" s="89"/>
      <c r="AC114" s="92"/>
      <c r="AD114" s="92"/>
      <c r="AE114" s="89"/>
      <c r="AF114" s="91" t="str">
        <f t="shared" ca="1" si="293"/>
        <v>2G</v>
      </c>
      <c r="AG114" s="327">
        <f t="shared" si="294"/>
        <v>0</v>
      </c>
      <c r="AH114" s="195">
        <v>88</v>
      </c>
      <c r="AI114" s="182"/>
      <c r="AJ114" s="160"/>
      <c r="AK114" s="161"/>
      <c r="AL114" s="162"/>
      <c r="AM114" s="163"/>
      <c r="AN114" s="160"/>
      <c r="AO114" s="160"/>
      <c r="AP114" s="160"/>
      <c r="AQ114" s="160"/>
      <c r="AR114" s="160"/>
      <c r="AS114" s="160"/>
      <c r="AT114" s="160"/>
      <c r="AU114" s="189"/>
      <c r="AV114" s="189"/>
      <c r="AW114" s="175"/>
      <c r="AX114" s="175"/>
      <c r="AY114" s="154"/>
      <c r="AZ114" s="155"/>
      <c r="BA114" s="176"/>
    </row>
    <row r="115" spans="1:59" ht="16" customHeight="1" x14ac:dyDescent="0.2">
      <c r="A115" s="16" t="s">
        <v>690</v>
      </c>
      <c r="B115" s="16" t="s">
        <v>740</v>
      </c>
      <c r="C115" s="16"/>
      <c r="D115" s="16" t="str">
        <f t="shared" si="289"/>
        <v>W86</v>
      </c>
      <c r="E115" s="16" t="s">
        <v>449</v>
      </c>
      <c r="F115" s="16" t="s">
        <v>732</v>
      </c>
      <c r="G115" s="16"/>
      <c r="H115" s="16"/>
      <c r="I115" s="16"/>
      <c r="J115" s="16">
        <v>87</v>
      </c>
      <c r="K115" s="16">
        <v>46206.75</v>
      </c>
      <c r="L115" s="16" t="s">
        <v>710</v>
      </c>
      <c r="M115" s="16" t="str">
        <f t="shared" ca="1" si="291"/>
        <v>1K</v>
      </c>
      <c r="N115" s="16" t="str">
        <f ca="1">+IFERROR(IF(OR(AND(LEFT(B115,1)="2",INDEX($H$101:$H$113,MATCH(F115,$G$101:$G$113,0))=12),AND(LEFT(B115,1)="2",$AJ$99=144)),INDEX($AL$6:$AL$97,MATCH(B115,$AI$6:$AI$97,0)),IF(OR(AND(LEFT(B115,1)="3",INDEX($H$101:$H$113,MATCH(F115,$G$101:$G$113,0))=144),AND(LEFT(B115,1)="3",$AJ$99=144)),INDEX(Combinaciones!$C$2:$J$496,MATCH(1,Combinaciones!$B$2:$B$496,0),MATCH(WORLDCUP!E115,Combinaciones!$C$1:$J$1,0)),B115)),B115)</f>
        <v>3DEIJL</v>
      </c>
      <c r="O115" s="16"/>
      <c r="P115" s="16"/>
      <c r="Q115" s="16"/>
      <c r="R115" s="16"/>
      <c r="S115" s="16"/>
      <c r="T115" s="16"/>
      <c r="U115" s="16"/>
      <c r="V115" s="17"/>
      <c r="W115" s="675"/>
      <c r="X115" s="24">
        <f ca="1">Horarios!C115</f>
        <v>46206.75</v>
      </c>
      <c r="Y115" s="25">
        <f ca="1">Horarios!C115</f>
        <v>46206.75</v>
      </c>
      <c r="Z115" s="280">
        <f t="shared" si="296"/>
        <v>86</v>
      </c>
      <c r="AA115" s="88" t="str">
        <f t="shared" ca="1" si="292"/>
        <v>1J</v>
      </c>
      <c r="AB115" s="89"/>
      <c r="AC115" s="92"/>
      <c r="AD115" s="92"/>
      <c r="AE115" s="89"/>
      <c r="AF115" s="91" t="str">
        <f t="shared" ca="1" si="293"/>
        <v>2H</v>
      </c>
      <c r="AG115" s="327">
        <f t="shared" si="294"/>
        <v>0</v>
      </c>
      <c r="AH115" s="195">
        <v>86</v>
      </c>
      <c r="AI115" s="182"/>
      <c r="AJ115" s="162"/>
      <c r="AK115" s="164"/>
      <c r="AL115" s="591" t="str">
        <f>+IF($AJ$99&gt;=48,Idiomas!D76,"")</f>
        <v/>
      </c>
      <c r="AM115" s="162"/>
      <c r="AN115" s="162"/>
      <c r="AO115" s="162"/>
      <c r="AP115" s="162"/>
      <c r="AQ115" s="162"/>
      <c r="AR115" s="162"/>
      <c r="AS115" s="162"/>
      <c r="AT115" s="162"/>
      <c r="AU115" s="188"/>
      <c r="AV115" s="188"/>
      <c r="AW115" s="166"/>
      <c r="AX115" s="166"/>
      <c r="AY115" s="154"/>
      <c r="AZ115" s="155"/>
      <c r="BA115" s="176"/>
    </row>
    <row r="116" spans="1:59" ht="16" customHeight="1" thickBot="1" x14ac:dyDescent="0.25">
      <c r="A116" s="16" t="s">
        <v>670</v>
      </c>
      <c r="B116" s="16" t="s">
        <v>679</v>
      </c>
      <c r="C116" s="16"/>
      <c r="D116" s="16" t="str">
        <f t="shared" si="289"/>
        <v>W87</v>
      </c>
      <c r="E116" s="16" t="s">
        <v>74</v>
      </c>
      <c r="F116" s="16" t="s">
        <v>6</v>
      </c>
      <c r="G116" s="16"/>
      <c r="H116" s="16"/>
      <c r="I116" s="16"/>
      <c r="J116" s="16">
        <v>88</v>
      </c>
      <c r="K116" s="16">
        <v>46206.75</v>
      </c>
      <c r="L116" s="16" t="s">
        <v>711</v>
      </c>
      <c r="M116" s="16" t="str">
        <f t="shared" ca="1" si="291"/>
        <v>2D</v>
      </c>
      <c r="N116" s="16" t="str">
        <f ca="1">+IFERROR(IF(OR(AND(LEFT(B116,1)="2",INDEX($H$101:$H$113,MATCH(F116,$G$101:$G$113,0))=12),AND(LEFT(B116,1)="2",$AJ$99=144)),INDEX($AL$6:$AL$97,MATCH(B116,$AI$6:$AI$97,0)),IF(OR(AND(LEFT(B116,1)="3",INDEX($H$101:$H$113,MATCH(F116,$G$101:$G$113,0))=144),AND(LEFT(B116,1)="3",$AJ$99=144)),INDEX(Combinaciones!$C$2:$J$496,MATCH(1,Combinaciones!$B$2:$B$496,0),MATCH(WORLDCUP!E116,Combinaciones!$C$1:$J$1,0)),B116)),B116)</f>
        <v>2G</v>
      </c>
      <c r="O116" s="16"/>
      <c r="P116" s="16"/>
      <c r="Q116" s="16"/>
      <c r="R116" s="16"/>
      <c r="S116" s="16"/>
      <c r="T116" s="16"/>
      <c r="U116" s="16"/>
      <c r="V116" s="17"/>
      <c r="W116" s="676"/>
      <c r="X116" s="28">
        <f ca="1">Horarios!C116</f>
        <v>46206.895833333336</v>
      </c>
      <c r="Y116" s="29">
        <f ca="1">Horarios!C116</f>
        <v>46206.895833333336</v>
      </c>
      <c r="Z116" s="281">
        <f t="shared" si="296"/>
        <v>87</v>
      </c>
      <c r="AA116" s="93" t="str">
        <f t="shared" ca="1" si="292"/>
        <v>1K</v>
      </c>
      <c r="AB116" s="94"/>
      <c r="AC116" s="277"/>
      <c r="AD116" s="277"/>
      <c r="AE116" s="94"/>
      <c r="AF116" s="95" t="str">
        <f t="shared" ca="1" si="293"/>
        <v>3DEIJL</v>
      </c>
      <c r="AG116" s="327">
        <f t="shared" si="294"/>
        <v>0</v>
      </c>
      <c r="AH116" s="195">
        <v>87</v>
      </c>
      <c r="AI116" s="182"/>
      <c r="AJ116" s="148"/>
      <c r="AK116" s="148"/>
      <c r="AL116" s="615"/>
      <c r="AM116" s="153"/>
      <c r="AN116" s="153"/>
      <c r="AO116" s="153"/>
      <c r="AP116" s="153"/>
      <c r="AQ116" s="153"/>
      <c r="AR116" s="153"/>
      <c r="AS116" s="153"/>
      <c r="AT116" s="153"/>
      <c r="AU116" s="334"/>
      <c r="AV116" s="181"/>
      <c r="AW116" s="153"/>
      <c r="AX116" s="153"/>
      <c r="AY116" s="154"/>
      <c r="AZ116" s="155"/>
      <c r="BA116" s="176"/>
    </row>
    <row r="117" spans="1:59" ht="16" customHeight="1" thickBot="1" x14ac:dyDescent="0.25">
      <c r="A117" s="16"/>
      <c r="B117" s="16"/>
      <c r="C117" s="16"/>
      <c r="D117" s="16"/>
      <c r="E117" s="16"/>
      <c r="F117" s="16"/>
      <c r="G117" s="16"/>
      <c r="H117" s="16"/>
      <c r="I117" s="16"/>
      <c r="J117" s="16"/>
      <c r="K117" s="16"/>
      <c r="L117" s="16"/>
      <c r="M117" s="16"/>
      <c r="N117" s="16"/>
      <c r="O117" s="16"/>
      <c r="P117" s="16"/>
      <c r="Q117" s="16"/>
      <c r="R117" s="16"/>
      <c r="S117" s="16"/>
      <c r="T117" s="16"/>
      <c r="U117" s="16"/>
      <c r="V117" s="17"/>
      <c r="W117" s="154"/>
      <c r="X117" s="155"/>
      <c r="Y117" s="154"/>
      <c r="Z117" s="156"/>
      <c r="AA117" s="157"/>
      <c r="AB117" s="158"/>
      <c r="AC117" s="151"/>
      <c r="AD117" s="151"/>
      <c r="AE117" s="158"/>
      <c r="AF117" s="159"/>
      <c r="AG117" s="326"/>
      <c r="AH117" s="195"/>
      <c r="AI117" s="182"/>
      <c r="AJ117" s="148"/>
      <c r="AK117" s="148"/>
      <c r="AL117" s="274"/>
      <c r="AM117" s="153"/>
      <c r="AN117" s="153"/>
      <c r="AO117" s="153"/>
      <c r="AP117" s="153"/>
      <c r="AQ117" s="153"/>
      <c r="AR117" s="153"/>
      <c r="AS117" s="153"/>
      <c r="AT117" s="153"/>
      <c r="AU117" s="334"/>
      <c r="AV117" s="181"/>
      <c r="AW117" s="153"/>
      <c r="AX117" s="153"/>
      <c r="AY117" s="154"/>
      <c r="AZ117" s="155"/>
      <c r="BA117" s="176"/>
      <c r="BF117" t="s">
        <v>656</v>
      </c>
      <c r="BG117" t="str">
        <f ca="1">+IFERROR(INDEX(Combinaciones!$P$2:$W$496,MATCH(1,Combinaciones!$B$2:$B$497,0),MATCH(WORLDCUP!BF117,Combinaciones!$P$1:$W$1,0)),"")</f>
        <v/>
      </c>
    </row>
    <row r="118" spans="1:59" ht="16" customHeight="1" thickBot="1" x14ac:dyDescent="0.25">
      <c r="A118" s="16"/>
      <c r="B118" s="16"/>
      <c r="C118" s="16"/>
      <c r="D118" s="16"/>
      <c r="E118" s="16"/>
      <c r="F118" s="16"/>
      <c r="G118" s="16"/>
      <c r="H118" s="16"/>
      <c r="I118" s="16"/>
      <c r="J118" s="16"/>
      <c r="K118" s="16"/>
      <c r="L118" s="16"/>
      <c r="M118" s="16"/>
      <c r="N118" s="16"/>
      <c r="O118" s="16"/>
      <c r="P118" s="16"/>
      <c r="Q118" s="16"/>
      <c r="R118" s="16"/>
      <c r="S118" s="16"/>
      <c r="T118" s="16"/>
      <c r="U118" s="16"/>
      <c r="V118" s="17"/>
      <c r="W118" s="66" t="str">
        <f>Idiomas!D28</f>
        <v>Round of 16</v>
      </c>
      <c r="X118" s="10"/>
      <c r="Y118" s="11"/>
      <c r="Z118" s="11"/>
      <c r="AA118" s="11"/>
      <c r="AB118" s="11"/>
      <c r="AC118" s="11"/>
      <c r="AD118" s="11"/>
      <c r="AE118" s="11"/>
      <c r="AF118" s="12"/>
      <c r="AG118" s="326"/>
      <c r="AH118" s="195"/>
      <c r="AI118" s="182"/>
      <c r="AJ118" s="153"/>
      <c r="AK118" s="148"/>
      <c r="AL118" s="274"/>
      <c r="AM118" s="153"/>
      <c r="AN118" s="153"/>
      <c r="AO118" s="153"/>
      <c r="AP118" s="153"/>
      <c r="AQ118" s="153"/>
      <c r="AR118" s="153"/>
      <c r="AS118" s="153"/>
      <c r="AT118" s="153"/>
      <c r="AU118" s="334"/>
      <c r="AV118" s="181"/>
      <c r="AW118" s="153"/>
      <c r="AX118" s="153"/>
      <c r="AY118" s="154"/>
      <c r="AZ118" s="155"/>
      <c r="BA118" s="176"/>
      <c r="BF118" t="s">
        <v>659</v>
      </c>
      <c r="BG118" t="str">
        <f ca="1">+IFERROR(INDEX(Combinaciones!$P$2:$W$496,MATCH(1,Combinaciones!$B$2:$B$497,0),MATCH(WORLDCUP!BF118,Combinaciones!$P$1:$W$1,0)),"")</f>
        <v/>
      </c>
    </row>
    <row r="119" spans="1:59" ht="16" customHeight="1"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7"/>
      <c r="W119" s="8"/>
      <c r="X119" s="69" t="str">
        <f>X3</f>
        <v>Date</v>
      </c>
      <c r="Y119" s="69" t="str">
        <f>Y3</f>
        <v>Hour</v>
      </c>
      <c r="Z119" s="67"/>
      <c r="AA119" s="68" t="str">
        <f>AA3</f>
        <v>Home</v>
      </c>
      <c r="AB119" s="67" t="s">
        <v>13</v>
      </c>
      <c r="AC119" s="69" t="str">
        <f>AC3</f>
        <v>Goal</v>
      </c>
      <c r="AD119" s="69" t="str">
        <f>AD3</f>
        <v>Goal</v>
      </c>
      <c r="AE119" s="67" t="s">
        <v>13</v>
      </c>
      <c r="AF119" s="70" t="str">
        <f>AF3</f>
        <v>Away</v>
      </c>
      <c r="AG119" s="326"/>
      <c r="AH119" s="195"/>
      <c r="AI119" s="182"/>
      <c r="AJ119" s="148"/>
      <c r="AK119" s="148"/>
      <c r="AL119" s="148"/>
      <c r="AM119" s="153"/>
      <c r="AN119" s="153"/>
      <c r="AO119" s="153"/>
      <c r="AP119" s="153"/>
      <c r="AQ119" s="153"/>
      <c r="AR119" s="153"/>
      <c r="AS119" s="153"/>
      <c r="AT119" s="153"/>
      <c r="AU119" s="334"/>
      <c r="AV119" s="181"/>
      <c r="AW119" s="153"/>
      <c r="AX119" s="153"/>
      <c r="AY119" s="154"/>
      <c r="AZ119" s="155"/>
      <c r="BA119" s="176"/>
      <c r="BF119" t="s">
        <v>669</v>
      </c>
      <c r="BG119" t="str">
        <f ca="1">+IFERROR(INDEX(Combinaciones!$P$2:$W$496,MATCH(1,Combinaciones!$B$2:$B$497,0),MATCH(WORLDCUP!BF119,Combinaciones!$P$1:$W$1,0)),"")</f>
        <v/>
      </c>
    </row>
    <row r="120" spans="1:59" ht="16" customHeight="1" x14ac:dyDescent="0.2">
      <c r="A120" s="16" t="s">
        <v>741</v>
      </c>
      <c r="B120" s="16" t="s">
        <v>742</v>
      </c>
      <c r="C120" s="16"/>
      <c r="D120" s="16" t="str">
        <f t="shared" ref="D120:D127" si="317">IF(AND(OR(AC120="",AD120="")),"W"&amp;AH120,IF(AC120&gt;AD120,AA120,IF(AC120&lt;AD120,AF120,IF(AND(AC120=AD120,AB120=AE120),"W"&amp;AH120,IF(AND(AC120=AD120,OR(AB120="",AE120="")),"W"&amp;AH120,IF(AND(AC120=AD120,AB120&gt;AE120),AA120,AF120))))))</f>
        <v>W90</v>
      </c>
      <c r="E120" s="16">
        <v>74</v>
      </c>
      <c r="F120" s="16">
        <v>77</v>
      </c>
      <c r="G120" s="16"/>
      <c r="H120" s="16"/>
      <c r="I120" s="16"/>
      <c r="J120" s="16">
        <v>89</v>
      </c>
      <c r="K120" s="16">
        <v>46207.75</v>
      </c>
      <c r="L120" s="16" t="s">
        <v>712</v>
      </c>
      <c r="M120" s="16" t="str">
        <f t="shared" ref="M120:N127" si="318">+INDEX($D$101:$D$147,MATCH(E120,$AH$101:$AH$147,0))</f>
        <v>W74</v>
      </c>
      <c r="N120" s="16" t="str">
        <f t="shared" si="318"/>
        <v>W77</v>
      </c>
      <c r="O120" s="16"/>
      <c r="P120" s="16"/>
      <c r="Q120" s="16"/>
      <c r="R120" s="16"/>
      <c r="S120" s="16"/>
      <c r="T120" s="16"/>
      <c r="U120" s="16"/>
      <c r="V120" s="17"/>
      <c r="W120" s="677" t="s">
        <v>89</v>
      </c>
      <c r="X120" s="24">
        <f ca="1">Horarios!C120</f>
        <v>46207.541666666664</v>
      </c>
      <c r="Y120" s="25">
        <f ca="1">Horarios!C120</f>
        <v>46207.541666666664</v>
      </c>
      <c r="Z120" s="280">
        <f t="shared" ref="Z120:Z127" si="319">AH120</f>
        <v>90</v>
      </c>
      <c r="AA120" s="88" t="str">
        <f t="shared" ref="AA120:AA127" si="320">+INDEX($M$101:$M$147,MATCH(AH120,$J$101:$J$147,0))</f>
        <v>W73</v>
      </c>
      <c r="AB120" s="89"/>
      <c r="AC120" s="96"/>
      <c r="AD120" s="96"/>
      <c r="AE120" s="89"/>
      <c r="AF120" s="91" t="str">
        <f t="shared" ref="AF120:AF127" si="321">+INDEX($N$101:$N$147,MATCH(AH120,$J$101:$J$147,0))</f>
        <v>W75</v>
      </c>
      <c r="AG120" s="327">
        <f t="shared" ref="AG120:AG127" si="322">IF(D120="W"&amp;AH120,0,1)</f>
        <v>0</v>
      </c>
      <c r="AH120" s="195">
        <v>90</v>
      </c>
      <c r="AI120" s="182"/>
      <c r="AJ120" s="148"/>
      <c r="AK120" s="148"/>
      <c r="AL120" s="209"/>
      <c r="AM120" s="153"/>
      <c r="AN120" s="153"/>
      <c r="AO120" s="153"/>
      <c r="AP120" s="153"/>
      <c r="AQ120" s="153"/>
      <c r="AR120" s="153"/>
      <c r="AS120" s="153"/>
      <c r="AT120" s="153"/>
      <c r="AU120" s="334"/>
      <c r="AV120" s="181"/>
      <c r="AW120" s="153"/>
      <c r="AX120" s="153"/>
      <c r="AY120" s="154"/>
      <c r="AZ120" s="155"/>
      <c r="BA120" s="176"/>
      <c r="BF120" t="s">
        <v>672</v>
      </c>
      <c r="BG120" t="str">
        <f ca="1">+IFERROR(INDEX(Combinaciones!$P$2:$W$496,MATCH(1,Combinaciones!$B$2:$B$497,0),MATCH(WORLDCUP!BF120,Combinaciones!$P$1:$W$1,0)),"")</f>
        <v/>
      </c>
    </row>
    <row r="121" spans="1:59" ht="16" customHeight="1" x14ac:dyDescent="0.2">
      <c r="A121" s="16" t="s">
        <v>743</v>
      </c>
      <c r="B121" s="16" t="s">
        <v>744</v>
      </c>
      <c r="C121" s="16"/>
      <c r="D121" s="16" t="str">
        <f t="shared" si="317"/>
        <v>W89</v>
      </c>
      <c r="E121" s="16">
        <v>73</v>
      </c>
      <c r="F121" s="16">
        <v>75</v>
      </c>
      <c r="G121" s="16"/>
      <c r="H121" s="16"/>
      <c r="I121" s="16"/>
      <c r="J121" s="16">
        <v>90</v>
      </c>
      <c r="K121" s="16">
        <v>46207.875</v>
      </c>
      <c r="L121" s="16" t="s">
        <v>713</v>
      </c>
      <c r="M121" s="16" t="str">
        <f t="shared" si="318"/>
        <v>W73</v>
      </c>
      <c r="N121" s="16" t="str">
        <f t="shared" si="318"/>
        <v>W75</v>
      </c>
      <c r="O121" s="16"/>
      <c r="P121" s="16"/>
      <c r="Q121" s="16"/>
      <c r="R121" s="16"/>
      <c r="S121" s="16"/>
      <c r="T121" s="16"/>
      <c r="U121" s="16"/>
      <c r="V121" s="17"/>
      <c r="W121" s="677"/>
      <c r="X121" s="24">
        <f ca="1">Horarios!C121</f>
        <v>46207.708333333336</v>
      </c>
      <c r="Y121" s="25">
        <f ca="1">Horarios!C121</f>
        <v>46207.708333333336</v>
      </c>
      <c r="Z121" s="280">
        <f t="shared" si="319"/>
        <v>89</v>
      </c>
      <c r="AA121" s="88" t="str">
        <f t="shared" si="320"/>
        <v>W74</v>
      </c>
      <c r="AB121" s="89"/>
      <c r="AC121" s="97"/>
      <c r="AD121" s="97"/>
      <c r="AE121" s="89"/>
      <c r="AF121" s="91" t="str">
        <f t="shared" si="321"/>
        <v>W77</v>
      </c>
      <c r="AG121" s="327">
        <f t="shared" si="322"/>
        <v>0</v>
      </c>
      <c r="AH121" s="195">
        <v>89</v>
      </c>
      <c r="AI121" s="182"/>
      <c r="AJ121" s="148"/>
      <c r="AK121" s="148"/>
      <c r="AL121" s="148"/>
      <c r="AM121" s="153"/>
      <c r="AN121" s="153"/>
      <c r="AO121" s="153"/>
      <c r="AP121" s="153"/>
      <c r="AQ121" s="153"/>
      <c r="AR121" s="153"/>
      <c r="AS121" s="153"/>
      <c r="AT121" s="153"/>
      <c r="AU121" s="334"/>
      <c r="AV121" s="181"/>
      <c r="AW121" s="153"/>
      <c r="AX121" s="153"/>
      <c r="AY121" s="154"/>
      <c r="AZ121" s="155"/>
      <c r="BA121" s="176"/>
      <c r="BF121" t="s">
        <v>678</v>
      </c>
      <c r="BG121" t="str">
        <f ca="1">+IFERROR(INDEX(Combinaciones!$P$2:$W$496,MATCH(1,Combinaciones!$B$2:$B$497,0),MATCH(WORLDCUP!BF121,Combinaciones!$P$1:$W$1,0)),"")</f>
        <v/>
      </c>
    </row>
    <row r="122" spans="1:59" ht="16" customHeight="1" x14ac:dyDescent="0.2">
      <c r="A122" s="16" t="s">
        <v>745</v>
      </c>
      <c r="B122" s="16" t="s">
        <v>746</v>
      </c>
      <c r="C122" s="16"/>
      <c r="D122" s="16" t="str">
        <f t="shared" si="317"/>
        <v>W91</v>
      </c>
      <c r="E122" s="16">
        <v>76</v>
      </c>
      <c r="F122" s="16">
        <v>78</v>
      </c>
      <c r="G122" s="16"/>
      <c r="H122" s="16"/>
      <c r="I122" s="16"/>
      <c r="J122" s="16">
        <v>91</v>
      </c>
      <c r="K122" s="16">
        <v>46208.75</v>
      </c>
      <c r="L122" s="16" t="s">
        <v>714</v>
      </c>
      <c r="M122" s="16" t="str">
        <f t="shared" si="318"/>
        <v>W76</v>
      </c>
      <c r="N122" s="16" t="str">
        <f t="shared" si="318"/>
        <v>W78</v>
      </c>
      <c r="O122" s="16"/>
      <c r="P122" s="16"/>
      <c r="Q122" s="16"/>
      <c r="R122" s="16"/>
      <c r="S122" s="16"/>
      <c r="T122" s="16"/>
      <c r="U122" s="16"/>
      <c r="V122" s="17"/>
      <c r="W122" s="677"/>
      <c r="X122" s="24">
        <f ca="1">Horarios!C122</f>
        <v>46208.666666666664</v>
      </c>
      <c r="Y122" s="25">
        <f ca="1">Horarios!C122</f>
        <v>46208.666666666664</v>
      </c>
      <c r="Z122" s="280">
        <f t="shared" si="319"/>
        <v>91</v>
      </c>
      <c r="AA122" s="88" t="str">
        <f t="shared" si="320"/>
        <v>W76</v>
      </c>
      <c r="AB122" s="89"/>
      <c r="AC122" s="97"/>
      <c r="AD122" s="97"/>
      <c r="AE122" s="89"/>
      <c r="AF122" s="91" t="str">
        <f t="shared" si="321"/>
        <v>W78</v>
      </c>
      <c r="AG122" s="327">
        <f t="shared" si="322"/>
        <v>0</v>
      </c>
      <c r="AH122" s="195">
        <v>91</v>
      </c>
      <c r="AI122" s="182"/>
      <c r="AJ122" s="148"/>
      <c r="AK122" s="148"/>
      <c r="AL122" s="148"/>
      <c r="AM122" s="153"/>
      <c r="AN122" s="153"/>
      <c r="AO122" s="153"/>
      <c r="AP122" s="153"/>
      <c r="AQ122" s="153"/>
      <c r="AR122" s="153"/>
      <c r="AS122" s="153"/>
      <c r="AT122" s="153"/>
      <c r="AU122" s="334"/>
      <c r="AV122" s="181"/>
      <c r="AW122" s="153"/>
      <c r="AX122" s="153"/>
      <c r="AY122" s="154"/>
      <c r="AZ122" s="155"/>
      <c r="BA122" s="176"/>
      <c r="BF122" t="s">
        <v>684</v>
      </c>
      <c r="BG122" t="str">
        <f ca="1">+IFERROR(INDEX(Combinaciones!$P$2:$W$496,MATCH(1,Combinaciones!$B$2:$B$497,0),MATCH(WORLDCUP!BF122,Combinaciones!$P$1:$W$1,0)),"")</f>
        <v/>
      </c>
    </row>
    <row r="123" spans="1:59" ht="16" customHeight="1" x14ac:dyDescent="0.2">
      <c r="A123" s="16" t="s">
        <v>747</v>
      </c>
      <c r="B123" s="16" t="s">
        <v>748</v>
      </c>
      <c r="C123" s="16"/>
      <c r="D123" s="16" t="str">
        <f t="shared" si="317"/>
        <v>W92</v>
      </c>
      <c r="E123" s="16">
        <v>79</v>
      </c>
      <c r="F123" s="16">
        <v>80</v>
      </c>
      <c r="G123" s="16"/>
      <c r="H123" s="16"/>
      <c r="I123" s="16"/>
      <c r="J123" s="16">
        <v>92</v>
      </c>
      <c r="K123" s="16">
        <v>46208.875</v>
      </c>
      <c r="L123" s="16" t="s">
        <v>715</v>
      </c>
      <c r="M123" s="16" t="str">
        <f t="shared" si="318"/>
        <v>W79</v>
      </c>
      <c r="N123" s="16" t="str">
        <f t="shared" si="318"/>
        <v>W80</v>
      </c>
      <c r="O123" s="16"/>
      <c r="P123" s="16"/>
      <c r="Q123" s="16"/>
      <c r="R123" s="16"/>
      <c r="S123" s="16"/>
      <c r="T123" s="16"/>
      <c r="U123" s="16"/>
      <c r="V123" s="17"/>
      <c r="W123" s="677"/>
      <c r="X123" s="24">
        <f ca="1">Horarios!C123</f>
        <v>46208.833333333336</v>
      </c>
      <c r="Y123" s="25">
        <f ca="1">Horarios!C123</f>
        <v>46208.833333333336</v>
      </c>
      <c r="Z123" s="280">
        <f t="shared" si="319"/>
        <v>92</v>
      </c>
      <c r="AA123" s="88" t="str">
        <f t="shared" si="320"/>
        <v>W79</v>
      </c>
      <c r="AB123" s="89"/>
      <c r="AC123" s="97"/>
      <c r="AD123" s="97"/>
      <c r="AE123" s="89"/>
      <c r="AF123" s="91" t="str">
        <f t="shared" si="321"/>
        <v>W80</v>
      </c>
      <c r="AG123" s="327">
        <f t="shared" si="322"/>
        <v>0</v>
      </c>
      <c r="AH123" s="195">
        <v>92</v>
      </c>
      <c r="AI123" s="182"/>
      <c r="AJ123" s="148"/>
      <c r="AK123" s="148"/>
      <c r="AL123" s="148"/>
      <c r="AM123" s="153"/>
      <c r="AN123" s="153"/>
      <c r="AO123" s="153"/>
      <c r="AP123" s="153"/>
      <c r="AQ123" s="153"/>
      <c r="AR123" s="153"/>
      <c r="AS123" s="153"/>
      <c r="AT123" s="153"/>
      <c r="AU123" s="334"/>
      <c r="AV123" s="181"/>
      <c r="AW123" s="153"/>
      <c r="AX123" s="153"/>
      <c r="AY123" s="154"/>
      <c r="AZ123" s="155"/>
      <c r="BA123" s="176"/>
      <c r="BF123" t="s">
        <v>690</v>
      </c>
      <c r="BG123" t="str">
        <f ca="1">+IFERROR(INDEX(Combinaciones!$P$2:$W$496,MATCH(1,Combinaciones!$B$2:$B$497,0),MATCH(WORLDCUP!BF123,Combinaciones!$P$1:$W$1,0)),"")</f>
        <v/>
      </c>
    </row>
    <row r="124" spans="1:59" ht="16" customHeight="1" x14ac:dyDescent="0.2">
      <c r="A124" s="16" t="s">
        <v>749</v>
      </c>
      <c r="B124" s="16" t="s">
        <v>750</v>
      </c>
      <c r="C124" s="16"/>
      <c r="D124" s="16" t="str">
        <f t="shared" si="317"/>
        <v>W93</v>
      </c>
      <c r="E124" s="16">
        <v>83</v>
      </c>
      <c r="F124" s="16">
        <v>84</v>
      </c>
      <c r="G124" s="16"/>
      <c r="H124" s="16"/>
      <c r="I124" s="16"/>
      <c r="J124" s="16">
        <v>93</v>
      </c>
      <c r="K124" s="16">
        <v>46209.75</v>
      </c>
      <c r="L124" s="16" t="s">
        <v>716</v>
      </c>
      <c r="M124" s="16" t="str">
        <f t="shared" si="318"/>
        <v>W83</v>
      </c>
      <c r="N124" s="16" t="str">
        <f t="shared" si="318"/>
        <v>W84</v>
      </c>
      <c r="O124" s="16"/>
      <c r="P124" s="16"/>
      <c r="Q124" s="16"/>
      <c r="R124" s="16"/>
      <c r="S124" s="16"/>
      <c r="T124" s="16"/>
      <c r="U124" s="16"/>
      <c r="V124" s="17"/>
      <c r="W124" s="677"/>
      <c r="X124" s="24">
        <f ca="1">Horarios!C124</f>
        <v>46209.625</v>
      </c>
      <c r="Y124" s="25">
        <f ca="1">Horarios!C124</f>
        <v>46209.625</v>
      </c>
      <c r="Z124" s="280">
        <f t="shared" si="319"/>
        <v>93</v>
      </c>
      <c r="AA124" s="88" t="str">
        <f t="shared" si="320"/>
        <v>W83</v>
      </c>
      <c r="AB124" s="98"/>
      <c r="AC124" s="97"/>
      <c r="AD124" s="97"/>
      <c r="AE124" s="90"/>
      <c r="AF124" s="91" t="str">
        <f t="shared" si="321"/>
        <v>W84</v>
      </c>
      <c r="AG124" s="327">
        <f t="shared" si="322"/>
        <v>0</v>
      </c>
      <c r="AH124" s="195">
        <v>93</v>
      </c>
      <c r="AI124" s="182"/>
      <c r="AJ124" s="148"/>
      <c r="AK124" s="148"/>
      <c r="AL124" s="148"/>
      <c r="AM124" s="153"/>
      <c r="AN124" s="153"/>
      <c r="AO124" s="153"/>
      <c r="AP124" s="153"/>
      <c r="AQ124" s="153"/>
      <c r="AR124" s="153"/>
      <c r="AS124" s="153"/>
      <c r="AT124" s="153"/>
      <c r="AU124" s="334"/>
      <c r="AV124" s="181"/>
      <c r="AW124" s="153"/>
      <c r="AX124" s="153"/>
      <c r="AY124" s="154"/>
      <c r="AZ124" s="155"/>
      <c r="BA124" s="176"/>
      <c r="BF124" t="s">
        <v>693</v>
      </c>
      <c r="BG124" t="str">
        <f ca="1">+IFERROR(INDEX(Combinaciones!$P$2:$W$496,MATCH(1,Combinaciones!$B$2:$B$497,0),MATCH(WORLDCUP!BF124,Combinaciones!$P$1:$W$1,0)),"")</f>
        <v/>
      </c>
    </row>
    <row r="125" spans="1:59" ht="16" customHeight="1" x14ac:dyDescent="0.2">
      <c r="A125" s="16" t="s">
        <v>751</v>
      </c>
      <c r="B125" s="16" t="s">
        <v>752</v>
      </c>
      <c r="C125" s="16"/>
      <c r="D125" s="16" t="str">
        <f t="shared" si="317"/>
        <v>W94</v>
      </c>
      <c r="E125" s="16">
        <v>81</v>
      </c>
      <c r="F125" s="16">
        <v>82</v>
      </c>
      <c r="G125" s="16"/>
      <c r="H125" s="16"/>
      <c r="I125" s="16"/>
      <c r="J125" s="16">
        <v>94</v>
      </c>
      <c r="K125" s="16">
        <v>46209.875</v>
      </c>
      <c r="L125" s="16" t="s">
        <v>717</v>
      </c>
      <c r="M125" s="16" t="str">
        <f t="shared" si="318"/>
        <v>W81</v>
      </c>
      <c r="N125" s="16" t="str">
        <f t="shared" si="318"/>
        <v>W82</v>
      </c>
      <c r="O125" s="16"/>
      <c r="P125" s="16"/>
      <c r="Q125" s="16"/>
      <c r="R125" s="16"/>
      <c r="S125" s="16"/>
      <c r="T125" s="16"/>
      <c r="U125" s="16"/>
      <c r="V125" s="17"/>
      <c r="W125" s="677"/>
      <c r="X125" s="24">
        <f ca="1">Horarios!C125</f>
        <v>46209.833333333336</v>
      </c>
      <c r="Y125" s="25">
        <f ca="1">Horarios!C125</f>
        <v>46209.833333333336</v>
      </c>
      <c r="Z125" s="280">
        <f t="shared" si="319"/>
        <v>94</v>
      </c>
      <c r="AA125" s="88" t="str">
        <f t="shared" si="320"/>
        <v>W81</v>
      </c>
      <c r="AB125" s="89"/>
      <c r="AC125" s="99"/>
      <c r="AD125" s="99"/>
      <c r="AE125" s="89"/>
      <c r="AF125" s="91" t="str">
        <f t="shared" si="321"/>
        <v>W82</v>
      </c>
      <c r="AG125" s="327">
        <f t="shared" si="322"/>
        <v>0</v>
      </c>
      <c r="AH125" s="195">
        <v>94</v>
      </c>
      <c r="AI125" s="182"/>
      <c r="AJ125" s="148"/>
      <c r="AK125" s="148"/>
      <c r="AL125" s="148"/>
      <c r="AM125" s="153"/>
      <c r="AN125" s="153"/>
      <c r="AO125" s="153"/>
      <c r="AP125" s="153"/>
      <c r="AQ125" s="153"/>
      <c r="AR125" s="153"/>
      <c r="AS125" s="153"/>
      <c r="AT125" s="153"/>
      <c r="AU125" s="334"/>
      <c r="AV125" s="181"/>
      <c r="AW125" s="153"/>
      <c r="AX125" s="153"/>
      <c r="AY125" s="154"/>
      <c r="AZ125" s="155"/>
      <c r="BA125" s="176"/>
    </row>
    <row r="126" spans="1:59" ht="16" customHeight="1" x14ac:dyDescent="0.2">
      <c r="A126" s="16" t="s">
        <v>753</v>
      </c>
      <c r="B126" s="16" t="s">
        <v>754</v>
      </c>
      <c r="C126" s="16"/>
      <c r="D126" s="16" t="str">
        <f t="shared" si="317"/>
        <v>W95</v>
      </c>
      <c r="E126" s="16">
        <v>86</v>
      </c>
      <c r="F126" s="16">
        <v>88</v>
      </c>
      <c r="G126" s="16"/>
      <c r="H126" s="16"/>
      <c r="I126" s="16"/>
      <c r="J126" s="16">
        <v>95</v>
      </c>
      <c r="K126" s="16">
        <v>46210.75</v>
      </c>
      <c r="L126" s="16" t="s">
        <v>718</v>
      </c>
      <c r="M126" s="16" t="str">
        <f t="shared" si="318"/>
        <v>W86</v>
      </c>
      <c r="N126" s="16" t="str">
        <f t="shared" si="318"/>
        <v>W88</v>
      </c>
      <c r="O126" s="16"/>
      <c r="P126" s="16"/>
      <c r="Q126" s="16"/>
      <c r="R126" s="16"/>
      <c r="S126" s="16"/>
      <c r="T126" s="16"/>
      <c r="U126" s="16"/>
      <c r="V126" s="17"/>
      <c r="W126" s="677"/>
      <c r="X126" s="24">
        <f ca="1">Horarios!C126</f>
        <v>46210.5</v>
      </c>
      <c r="Y126" s="25">
        <f ca="1">Horarios!C126</f>
        <v>46210.5</v>
      </c>
      <c r="Z126" s="280">
        <f t="shared" si="319"/>
        <v>95</v>
      </c>
      <c r="AA126" s="88" t="str">
        <f t="shared" si="320"/>
        <v>W86</v>
      </c>
      <c r="AB126" s="89"/>
      <c r="AC126" s="99"/>
      <c r="AD126" s="99"/>
      <c r="AE126" s="89"/>
      <c r="AF126" s="91" t="str">
        <f t="shared" si="321"/>
        <v>W88</v>
      </c>
      <c r="AG126" s="327">
        <f t="shared" si="322"/>
        <v>0</v>
      </c>
      <c r="AH126" s="195">
        <v>95</v>
      </c>
      <c r="AI126" s="182"/>
      <c r="AJ126" s="148"/>
      <c r="AK126" s="148"/>
      <c r="AL126" s="148"/>
      <c r="AM126" s="153"/>
      <c r="AN126" s="153"/>
      <c r="AO126" s="153"/>
      <c r="AP126" s="153"/>
      <c r="AQ126" s="153"/>
      <c r="AR126" s="153"/>
      <c r="AS126" s="153"/>
      <c r="AT126" s="153"/>
      <c r="AU126" s="334"/>
      <c r="AV126" s="181"/>
      <c r="AW126" s="153"/>
      <c r="AX126" s="153"/>
      <c r="AY126" s="154"/>
      <c r="AZ126" s="155"/>
      <c r="BA126" s="176"/>
    </row>
    <row r="127" spans="1:59" ht="16" customHeight="1" thickBot="1" x14ac:dyDescent="0.25">
      <c r="A127" s="16" t="s">
        <v>755</v>
      </c>
      <c r="B127" s="16" t="s">
        <v>756</v>
      </c>
      <c r="C127" s="16"/>
      <c r="D127" s="16" t="str">
        <f t="shared" si="317"/>
        <v>W96</v>
      </c>
      <c r="E127" s="16">
        <v>85</v>
      </c>
      <c r="F127" s="16">
        <v>87</v>
      </c>
      <c r="G127" s="16"/>
      <c r="H127" s="16"/>
      <c r="I127" s="16"/>
      <c r="J127" s="16">
        <v>96</v>
      </c>
      <c r="K127" s="16">
        <v>46210.875</v>
      </c>
      <c r="L127" s="16" t="s">
        <v>719</v>
      </c>
      <c r="M127" s="16" t="str">
        <f t="shared" si="318"/>
        <v>W85</v>
      </c>
      <c r="N127" s="16" t="str">
        <f t="shared" si="318"/>
        <v>W87</v>
      </c>
      <c r="O127" s="16"/>
      <c r="P127" s="16"/>
      <c r="Q127" s="16"/>
      <c r="R127" s="16"/>
      <c r="S127" s="16"/>
      <c r="T127" s="16"/>
      <c r="U127" s="16"/>
      <c r="V127" s="17"/>
      <c r="W127" s="678"/>
      <c r="X127" s="28">
        <f ca="1">Horarios!C127</f>
        <v>46210.666666666664</v>
      </c>
      <c r="Y127" s="29">
        <f ca="1">Horarios!C127</f>
        <v>46210.666666666664</v>
      </c>
      <c r="Z127" s="281">
        <f t="shared" si="319"/>
        <v>96</v>
      </c>
      <c r="AA127" s="93" t="str">
        <f t="shared" si="320"/>
        <v>W85</v>
      </c>
      <c r="AB127" s="94"/>
      <c r="AC127" s="100"/>
      <c r="AD127" s="100"/>
      <c r="AE127" s="94"/>
      <c r="AF127" s="95" t="str">
        <f t="shared" si="321"/>
        <v>W87</v>
      </c>
      <c r="AG127" s="327">
        <f t="shared" si="322"/>
        <v>0</v>
      </c>
      <c r="AH127" s="195">
        <v>96</v>
      </c>
      <c r="AI127" s="182"/>
      <c r="AJ127" s="148"/>
      <c r="AK127" s="148"/>
      <c r="AL127" s="148"/>
      <c r="AM127" s="153"/>
      <c r="AN127" s="153"/>
      <c r="AO127" s="153"/>
      <c r="AP127" s="153"/>
      <c r="AQ127" s="153"/>
      <c r="AR127" s="153"/>
      <c r="AS127" s="153"/>
      <c r="AT127" s="153"/>
      <c r="AU127" s="334"/>
      <c r="AV127" s="181"/>
      <c r="AW127" s="153"/>
      <c r="AX127" s="153"/>
      <c r="AY127" s="154"/>
      <c r="AZ127" s="155"/>
      <c r="BA127" s="176"/>
    </row>
    <row r="128" spans="1:59" ht="16" customHeight="1" thickBot="1" x14ac:dyDescent="0.25">
      <c r="A128" s="16"/>
      <c r="B128" s="16"/>
      <c r="C128" s="16"/>
      <c r="D128" s="16"/>
      <c r="E128" s="16"/>
      <c r="F128" s="16"/>
      <c r="G128" s="16"/>
      <c r="H128" s="16"/>
      <c r="I128" s="16"/>
      <c r="J128" s="16"/>
      <c r="K128" s="16"/>
      <c r="L128" s="16"/>
      <c r="M128" s="16"/>
      <c r="N128" s="16"/>
      <c r="O128" s="16"/>
      <c r="P128" s="16"/>
      <c r="Q128" s="16"/>
      <c r="R128" s="16"/>
      <c r="S128" s="16"/>
      <c r="T128" s="16"/>
      <c r="U128" s="16"/>
      <c r="V128" s="17"/>
      <c r="W128" s="154"/>
      <c r="X128" s="155"/>
      <c r="Y128" s="154"/>
      <c r="Z128" s="156"/>
      <c r="AA128" s="157"/>
      <c r="AB128" s="158"/>
      <c r="AC128" s="151"/>
      <c r="AD128" s="151"/>
      <c r="AE128" s="158"/>
      <c r="AF128" s="159"/>
      <c r="AG128" s="326"/>
      <c r="AH128" s="195"/>
      <c r="AI128" s="182"/>
      <c r="AJ128" s="148"/>
      <c r="AK128" s="148"/>
      <c r="AL128" s="148"/>
      <c r="AM128" s="153"/>
      <c r="AN128" s="153"/>
      <c r="AO128" s="153"/>
      <c r="AP128" s="153"/>
      <c r="AQ128" s="153"/>
      <c r="AR128" s="153"/>
      <c r="AS128" s="153"/>
      <c r="AT128" s="153"/>
      <c r="AU128" s="334"/>
      <c r="AV128" s="181"/>
      <c r="AW128" s="153"/>
      <c r="AX128" s="153"/>
      <c r="AY128" s="154"/>
      <c r="AZ128" s="155"/>
      <c r="BA128" s="176"/>
    </row>
    <row r="129" spans="1:53" ht="16" customHeight="1" thickBot="1" x14ac:dyDescent="0.25">
      <c r="A129" s="16"/>
      <c r="B129" s="16"/>
      <c r="C129" s="16"/>
      <c r="D129" s="16"/>
      <c r="E129" s="16"/>
      <c r="F129" s="16"/>
      <c r="G129" s="16"/>
      <c r="H129" s="16"/>
      <c r="I129" s="16"/>
      <c r="J129" s="16"/>
      <c r="K129" s="16"/>
      <c r="L129" s="16"/>
      <c r="M129" s="16"/>
      <c r="N129" s="16"/>
      <c r="O129" s="16"/>
      <c r="P129" s="16"/>
      <c r="Q129" s="16"/>
      <c r="R129" s="16"/>
      <c r="S129" s="16"/>
      <c r="T129" s="16"/>
      <c r="U129" s="16"/>
      <c r="V129" s="17"/>
      <c r="W129" s="66" t="str">
        <f>Idiomas!D29</f>
        <v>Quarterfinals</v>
      </c>
      <c r="X129" s="10"/>
      <c r="Y129" s="11"/>
      <c r="Z129" s="11"/>
      <c r="AA129" s="11"/>
      <c r="AB129" s="11"/>
      <c r="AC129" s="11"/>
      <c r="AD129" s="11"/>
      <c r="AE129" s="11"/>
      <c r="AF129" s="12"/>
      <c r="AG129" s="324"/>
      <c r="AH129" s="181"/>
      <c r="AI129" s="182"/>
      <c r="AJ129" s="148"/>
      <c r="AK129" s="148"/>
      <c r="AL129" s="148"/>
      <c r="AM129" s="153"/>
      <c r="AN129" s="153"/>
      <c r="AO129" s="153"/>
      <c r="AP129" s="153"/>
      <c r="AQ129" s="153"/>
      <c r="AR129" s="153"/>
      <c r="AS129" s="153"/>
      <c r="AT129" s="153"/>
      <c r="AU129" s="334"/>
      <c r="AV129" s="181"/>
      <c r="AW129" s="153"/>
      <c r="AX129" s="153"/>
      <c r="AY129" s="154"/>
      <c r="AZ129" s="155"/>
      <c r="BA129" s="176"/>
    </row>
    <row r="130" spans="1:53" ht="16" customHeight="1"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7"/>
      <c r="W130" s="8"/>
      <c r="X130" s="69" t="str">
        <f>X3</f>
        <v>Date</v>
      </c>
      <c r="Y130" s="69" t="str">
        <f>Y3</f>
        <v>Hour</v>
      </c>
      <c r="Z130" s="67"/>
      <c r="AA130" s="68" t="str">
        <f>AA3</f>
        <v>Home</v>
      </c>
      <c r="AB130" s="67" t="s">
        <v>13</v>
      </c>
      <c r="AC130" s="69" t="str">
        <f>AC3</f>
        <v>Goal</v>
      </c>
      <c r="AD130" s="69" t="str">
        <f>AD3</f>
        <v>Goal</v>
      </c>
      <c r="AE130" s="67" t="s">
        <v>13</v>
      </c>
      <c r="AF130" s="70" t="str">
        <f>AF3</f>
        <v>Away</v>
      </c>
      <c r="AG130" s="324"/>
      <c r="AH130" s="181"/>
      <c r="AI130" s="182"/>
      <c r="AJ130" s="148"/>
      <c r="AK130" s="148"/>
      <c r="AL130" s="148"/>
      <c r="AM130" s="153"/>
      <c r="AN130" s="153"/>
      <c r="AO130" s="153"/>
      <c r="AP130" s="153"/>
      <c r="AQ130" s="153"/>
      <c r="AR130" s="153"/>
      <c r="AS130" s="153"/>
      <c r="AT130" s="153"/>
      <c r="AU130" s="334"/>
      <c r="AV130" s="181"/>
      <c r="AW130" s="153"/>
      <c r="AX130" s="153"/>
      <c r="AY130" s="154"/>
      <c r="AZ130" s="155"/>
      <c r="BA130" s="176"/>
    </row>
    <row r="131" spans="1:53" ht="16" customHeight="1" x14ac:dyDescent="0.2">
      <c r="A131" s="16" t="s">
        <v>757</v>
      </c>
      <c r="B131" s="16" t="s">
        <v>758</v>
      </c>
      <c r="C131" s="16"/>
      <c r="D131" s="16" t="str">
        <f>IF(AND(OR(AC131="",AD131="")),"W"&amp;AH131,IF(AC131&gt;AD131,AA131,IF(AC131&lt;AD131,AF131,IF(AND(AC131=AD131,AB131=AE131),"W"&amp;AH131,IF(AND(AC131=AD131,OR(AB131="",AE131="")),"W"&amp;AH131,IF(AND(AC131=AD131,AB131&gt;AE131),AA131,AF131))))))</f>
        <v>W97</v>
      </c>
      <c r="E131" s="16">
        <v>89</v>
      </c>
      <c r="F131" s="16">
        <v>90</v>
      </c>
      <c r="G131" s="16"/>
      <c r="H131" s="16"/>
      <c r="I131" s="16"/>
      <c r="J131" s="16">
        <v>97</v>
      </c>
      <c r="K131" s="16">
        <v>46212.75</v>
      </c>
      <c r="L131" s="16" t="s">
        <v>720</v>
      </c>
      <c r="M131" s="16" t="str">
        <f t="shared" ref="M131:N134" si="323">+INDEX($D$101:$D$147,MATCH(E131,$AH$101:$AH$147,0))</f>
        <v>W89</v>
      </c>
      <c r="N131" s="16" t="str">
        <f t="shared" si="323"/>
        <v>W90</v>
      </c>
      <c r="O131" s="16"/>
      <c r="P131" s="16"/>
      <c r="Q131" s="16"/>
      <c r="R131" s="16"/>
      <c r="S131" s="16"/>
      <c r="T131" s="16"/>
      <c r="U131" s="16"/>
      <c r="V131" s="17"/>
      <c r="W131" s="679" t="s">
        <v>36</v>
      </c>
      <c r="X131" s="24">
        <f ca="1">Horarios!C131</f>
        <v>46212.666666666664</v>
      </c>
      <c r="Y131" s="25">
        <f ca="1">Horarios!C131</f>
        <v>46212.666666666664</v>
      </c>
      <c r="Z131" s="282">
        <f t="shared" ref="Z131:Z134" si="324">AH131</f>
        <v>97</v>
      </c>
      <c r="AA131" s="88" t="str">
        <f t="shared" ref="AA131:AA134" si="325">+INDEX($M$101:$M$147,MATCH(AH131,$J$101:$J$147,0))</f>
        <v>W89</v>
      </c>
      <c r="AB131" s="98"/>
      <c r="AC131" s="96"/>
      <c r="AD131" s="96"/>
      <c r="AE131" s="90"/>
      <c r="AF131" s="116" t="str">
        <f>+INDEX($N$101:$N$147,MATCH(AH131,$J$101:$J$147,0))</f>
        <v>W90</v>
      </c>
      <c r="AG131" s="327">
        <f>IF(D131="W"&amp;AH131,0,1)</f>
        <v>0</v>
      </c>
      <c r="AH131" s="196">
        <v>97</v>
      </c>
      <c r="AI131" s="182"/>
      <c r="AJ131" s="148"/>
      <c r="AK131" s="148"/>
      <c r="AL131" s="148"/>
      <c r="AM131" s="153"/>
      <c r="AN131" s="153"/>
      <c r="AO131" s="153"/>
      <c r="AP131" s="153"/>
      <c r="AQ131" s="153"/>
      <c r="AR131" s="153"/>
      <c r="AS131" s="153"/>
      <c r="AT131" s="153"/>
      <c r="AU131" s="334"/>
      <c r="AV131" s="181"/>
      <c r="AW131" s="153"/>
      <c r="AX131" s="153"/>
      <c r="AY131" s="154"/>
      <c r="AZ131" s="155"/>
      <c r="BA131" s="176"/>
    </row>
    <row r="132" spans="1:53" ht="16" customHeight="1" x14ac:dyDescent="0.2">
      <c r="A132" s="16" t="s">
        <v>759</v>
      </c>
      <c r="B132" s="16" t="s">
        <v>760</v>
      </c>
      <c r="C132" s="16"/>
      <c r="D132" s="16" t="str">
        <f>IF(AND(OR(AC132="",AD132="")),"W"&amp;AH132,IF(AC132&gt;AD132,AA132,IF(AC132&lt;AD132,AF132,IF(AND(AC132=AD132,AB132=AE132),"W"&amp;AH132,IF(AND(AC132=AD132,OR(AB132="",AE132="")),"W"&amp;AH132,IF(AND(AC132=AD132,AB132&gt;AE132),AA132,AF132))))))</f>
        <v>W98</v>
      </c>
      <c r="E132" s="16">
        <v>93</v>
      </c>
      <c r="F132" s="16">
        <v>94</v>
      </c>
      <c r="G132" s="16"/>
      <c r="H132" s="16"/>
      <c r="I132" s="16"/>
      <c r="J132" s="16">
        <v>98</v>
      </c>
      <c r="K132" s="16">
        <v>46213.875</v>
      </c>
      <c r="L132" s="16" t="s">
        <v>721</v>
      </c>
      <c r="M132" s="16" t="str">
        <f t="shared" si="323"/>
        <v>W93</v>
      </c>
      <c r="N132" s="16" t="str">
        <f t="shared" si="323"/>
        <v>W94</v>
      </c>
      <c r="O132" s="16"/>
      <c r="P132" s="16"/>
      <c r="Q132" s="16"/>
      <c r="R132" s="16"/>
      <c r="S132" s="16"/>
      <c r="T132" s="16"/>
      <c r="U132" s="16"/>
      <c r="V132" s="17"/>
      <c r="W132" s="679"/>
      <c r="X132" s="24">
        <f ca="1">Horarios!C132</f>
        <v>46213.625</v>
      </c>
      <c r="Y132" s="25">
        <f ca="1">Horarios!C132</f>
        <v>46213.625</v>
      </c>
      <c r="Z132" s="282">
        <f t="shared" si="324"/>
        <v>98</v>
      </c>
      <c r="AA132" s="88" t="str">
        <f t="shared" si="325"/>
        <v>W93</v>
      </c>
      <c r="AB132" s="89"/>
      <c r="AC132" s="99"/>
      <c r="AD132" s="99"/>
      <c r="AE132" s="89"/>
      <c r="AF132" s="116" t="str">
        <f>+INDEX($N$101:$N$147,MATCH(AH132,$J$101:$J$147,0))</f>
        <v>W94</v>
      </c>
      <c r="AG132" s="327">
        <f>IF(D132="W"&amp;AH132,0,1)</f>
        <v>0</v>
      </c>
      <c r="AH132" s="196">
        <v>98</v>
      </c>
      <c r="AI132" s="182"/>
      <c r="AJ132" s="148"/>
      <c r="AK132" s="148"/>
      <c r="AL132" s="148"/>
      <c r="AM132" s="153"/>
      <c r="AN132" s="153"/>
      <c r="AO132" s="153"/>
      <c r="AP132" s="153"/>
      <c r="AQ132" s="153"/>
      <c r="AR132" s="153"/>
      <c r="AS132" s="153"/>
      <c r="AT132" s="153"/>
      <c r="AU132" s="334"/>
      <c r="AV132" s="181"/>
      <c r="AW132" s="153"/>
      <c r="AX132" s="153"/>
      <c r="AY132" s="154"/>
      <c r="AZ132" s="155"/>
      <c r="BA132" s="176"/>
    </row>
    <row r="133" spans="1:53" ht="16" customHeight="1" x14ac:dyDescent="0.2">
      <c r="A133" s="16" t="s">
        <v>761</v>
      </c>
      <c r="B133" s="16" t="s">
        <v>762</v>
      </c>
      <c r="C133" s="16"/>
      <c r="D133" s="16" t="str">
        <f>IF(AND(OR(AC133="",AD133="")),"W"&amp;AH133,IF(AC133&gt;AD133,AA133,IF(AC133&lt;AD133,AF133,IF(AND(AC133=AD133,AB133=AE133),"W"&amp;AH133,IF(AND(AC133=AD133,OR(AB133="",AE133="")),"W"&amp;AH133,IF(AND(AC133=AD133,AB133&gt;AE133),AA133,AF133))))))</f>
        <v>W99</v>
      </c>
      <c r="E133" s="16">
        <v>91</v>
      </c>
      <c r="F133" s="16">
        <v>92</v>
      </c>
      <c r="G133" s="16"/>
      <c r="H133" s="16"/>
      <c r="I133" s="16"/>
      <c r="J133" s="16">
        <v>99</v>
      </c>
      <c r="K133" s="16">
        <v>46214.75</v>
      </c>
      <c r="L133" s="16" t="s">
        <v>722</v>
      </c>
      <c r="M133" s="16" t="str">
        <f t="shared" si="323"/>
        <v>W91</v>
      </c>
      <c r="N133" s="16" t="str">
        <f t="shared" si="323"/>
        <v>W92</v>
      </c>
      <c r="O133" s="16"/>
      <c r="P133" s="16"/>
      <c r="Q133" s="16"/>
      <c r="R133" s="16"/>
      <c r="S133" s="16"/>
      <c r="T133" s="16"/>
      <c r="U133" s="16"/>
      <c r="V133" s="17"/>
      <c r="W133" s="679"/>
      <c r="X133" s="24">
        <f ca="1">Horarios!C133</f>
        <v>46214.708333333336</v>
      </c>
      <c r="Y133" s="25">
        <f ca="1">Horarios!C133</f>
        <v>46214.708333333336</v>
      </c>
      <c r="Z133" s="282">
        <f t="shared" si="324"/>
        <v>99</v>
      </c>
      <c r="AA133" s="88" t="str">
        <f t="shared" si="325"/>
        <v>W91</v>
      </c>
      <c r="AB133" s="89"/>
      <c r="AC133" s="99"/>
      <c r="AD133" s="99"/>
      <c r="AE133" s="89"/>
      <c r="AF133" s="116" t="str">
        <f>+INDEX($N$101:$N$147,MATCH(AH133,$J$101:$J$147,0))</f>
        <v>W92</v>
      </c>
      <c r="AG133" s="327">
        <f>IF(D133="W"&amp;AH133,0,1)</f>
        <v>0</v>
      </c>
      <c r="AH133" s="196">
        <v>99</v>
      </c>
      <c r="AI133" s="182"/>
      <c r="AJ133" s="148"/>
      <c r="AK133" s="148"/>
      <c r="AL133" s="148"/>
      <c r="AM133" s="153"/>
      <c r="AN133" s="153"/>
      <c r="AO133" s="153"/>
      <c r="AP133" s="153"/>
      <c r="AQ133" s="153"/>
      <c r="AR133" s="153"/>
      <c r="AS133" s="153"/>
      <c r="AT133" s="153"/>
      <c r="AU133" s="334"/>
      <c r="AV133" s="181"/>
      <c r="AW133" s="153"/>
      <c r="AX133" s="153"/>
      <c r="AY133" s="154"/>
      <c r="AZ133" s="155"/>
      <c r="BA133" s="176"/>
    </row>
    <row r="134" spans="1:53" ht="16" customHeight="1" thickBot="1" x14ac:dyDescent="0.25">
      <c r="A134" s="16" t="s">
        <v>763</v>
      </c>
      <c r="B134" s="16" t="s">
        <v>764</v>
      </c>
      <c r="C134" s="16"/>
      <c r="D134" s="16" t="str">
        <f>IF(AND(OR(AC134="",AD134="")),"W"&amp;AH134,IF(AC134&gt;AD134,AA134,IF(AC134&lt;AD134,AF134,IF(AND(AC134=AD134,AB134=AE134),"W"&amp;AH134,IF(AND(AC134=AD134,OR(AB134="",AE134="")),"W"&amp;AH134,IF(AND(AC134=AD134,AB134&gt;AE134),AA134,AF134))))))</f>
        <v>W100</v>
      </c>
      <c r="E134" s="16">
        <v>95</v>
      </c>
      <c r="F134" s="16">
        <v>96</v>
      </c>
      <c r="G134" s="16"/>
      <c r="H134" s="16"/>
      <c r="I134" s="16"/>
      <c r="J134" s="16">
        <v>100</v>
      </c>
      <c r="K134" s="16">
        <v>46214.875</v>
      </c>
      <c r="L134" s="16" t="s">
        <v>723</v>
      </c>
      <c r="M134" s="16" t="str">
        <f t="shared" si="323"/>
        <v>W95</v>
      </c>
      <c r="N134" s="16" t="str">
        <f t="shared" si="323"/>
        <v>W96</v>
      </c>
      <c r="O134" s="16"/>
      <c r="P134" s="16"/>
      <c r="Q134" s="16"/>
      <c r="R134" s="16"/>
      <c r="S134" s="16"/>
      <c r="T134" s="16"/>
      <c r="U134" s="16"/>
      <c r="V134" s="17"/>
      <c r="W134" s="680"/>
      <c r="X134" s="28">
        <f ca="1">Horarios!C134</f>
        <v>46214.875</v>
      </c>
      <c r="Y134" s="29">
        <f ca="1">Horarios!C134</f>
        <v>46214.875</v>
      </c>
      <c r="Z134" s="283">
        <f t="shared" si="324"/>
        <v>100</v>
      </c>
      <c r="AA134" s="93" t="str">
        <f t="shared" si="325"/>
        <v>W95</v>
      </c>
      <c r="AB134" s="94"/>
      <c r="AC134" s="100"/>
      <c r="AD134" s="100"/>
      <c r="AE134" s="94"/>
      <c r="AF134" s="117" t="str">
        <f>+INDEX($N$101:$N$147,MATCH(AH134,$J$101:$J$147,0))</f>
        <v>W96</v>
      </c>
      <c r="AG134" s="327">
        <f>IF(D134="W"&amp;AH134,0,1)</f>
        <v>0</v>
      </c>
      <c r="AH134" s="196">
        <v>100</v>
      </c>
      <c r="AI134" s="182"/>
      <c r="AJ134" s="148"/>
      <c r="AK134" s="148"/>
      <c r="AL134" s="148"/>
      <c r="AM134" s="153"/>
      <c r="AN134" s="153"/>
      <c r="AO134" s="153"/>
      <c r="AP134" s="153"/>
      <c r="AQ134" s="153"/>
      <c r="AR134" s="153"/>
      <c r="AS134" s="153"/>
      <c r="AT134" s="153"/>
      <c r="AU134" s="334"/>
      <c r="AV134" s="181"/>
      <c r="AW134" s="153"/>
      <c r="AX134" s="153"/>
      <c r="AY134" s="154"/>
      <c r="AZ134" s="155"/>
      <c r="BA134" s="176"/>
    </row>
    <row r="135" spans="1:53" ht="16" customHeight="1" thickBot="1" x14ac:dyDescent="0.25">
      <c r="A135" s="16"/>
      <c r="B135" s="16"/>
      <c r="C135" s="16"/>
      <c r="D135" s="16"/>
      <c r="E135" s="16"/>
      <c r="F135" s="16"/>
      <c r="G135" s="16"/>
      <c r="H135" s="16"/>
      <c r="I135" s="16"/>
      <c r="J135" s="16"/>
      <c r="K135" s="16"/>
      <c r="L135" s="16"/>
      <c r="M135" s="16"/>
      <c r="N135" s="16"/>
      <c r="O135" s="16"/>
      <c r="P135" s="16"/>
      <c r="Q135" s="16"/>
      <c r="R135" s="16"/>
      <c r="S135" s="16"/>
      <c r="T135" s="16"/>
      <c r="U135" s="16"/>
      <c r="V135" s="17"/>
      <c r="W135" s="154"/>
      <c r="X135" s="155"/>
      <c r="Y135" s="154"/>
      <c r="Z135" s="156"/>
      <c r="AA135" s="157"/>
      <c r="AB135" s="158"/>
      <c r="AC135" s="151"/>
      <c r="AD135" s="151"/>
      <c r="AE135" s="158"/>
      <c r="AF135" s="159"/>
      <c r="AG135" s="328"/>
      <c r="AH135" s="197"/>
      <c r="AI135" s="182"/>
      <c r="AJ135" s="148"/>
      <c r="AK135" s="148"/>
      <c r="AL135" s="148"/>
      <c r="AM135" s="153"/>
      <c r="AN135" s="153"/>
      <c r="AO135" s="153"/>
      <c r="AP135" s="153"/>
      <c r="AQ135" s="153"/>
      <c r="AR135" s="153"/>
      <c r="AS135" s="153"/>
      <c r="AT135" s="153"/>
      <c r="AU135" s="334"/>
      <c r="AV135" s="181"/>
      <c r="AW135" s="153"/>
      <c r="AX135" s="153"/>
      <c r="AY135" s="154"/>
      <c r="AZ135" s="155"/>
      <c r="BA135" s="176"/>
    </row>
    <row r="136" spans="1:53" ht="16" customHeight="1" thickBot="1" x14ac:dyDescent="0.25">
      <c r="A136" s="16"/>
      <c r="B136" s="16"/>
      <c r="C136" s="16"/>
      <c r="D136" s="16"/>
      <c r="E136" s="16"/>
      <c r="F136" s="16" t="s">
        <v>1205</v>
      </c>
      <c r="G136" s="16"/>
      <c r="H136" s="16"/>
      <c r="I136" s="16"/>
      <c r="J136" s="16"/>
      <c r="K136" s="16"/>
      <c r="L136" s="16"/>
      <c r="M136" s="16"/>
      <c r="N136" s="16"/>
      <c r="O136" s="16"/>
      <c r="P136" s="16"/>
      <c r="Q136" s="16"/>
      <c r="R136" s="16"/>
      <c r="S136" s="16"/>
      <c r="T136" s="16"/>
      <c r="U136" s="16"/>
      <c r="V136" s="17"/>
      <c r="W136" s="118" t="str">
        <f>Idiomas!D30</f>
        <v>Semifinals</v>
      </c>
      <c r="X136" s="119"/>
      <c r="Y136" s="120"/>
      <c r="Z136" s="120"/>
      <c r="AA136" s="120"/>
      <c r="AB136" s="120"/>
      <c r="AC136" s="120"/>
      <c r="AD136" s="120"/>
      <c r="AE136" s="120"/>
      <c r="AF136" s="121"/>
      <c r="AG136" s="328"/>
      <c r="AH136" s="197"/>
      <c r="AI136" s="182"/>
      <c r="AJ136" s="148"/>
      <c r="AK136" s="148"/>
      <c r="AL136" s="148"/>
      <c r="AM136" s="153"/>
      <c r="AN136" s="153"/>
      <c r="AO136" s="153"/>
      <c r="AP136" s="153"/>
      <c r="AQ136" s="153"/>
      <c r="AR136" s="153"/>
      <c r="AS136" s="153"/>
      <c r="AT136" s="153"/>
      <c r="AU136" s="334"/>
      <c r="AV136" s="181"/>
      <c r="AW136" s="153"/>
      <c r="AX136" s="153"/>
      <c r="AY136" s="154"/>
      <c r="AZ136" s="155"/>
      <c r="BA136" s="176"/>
    </row>
    <row r="137" spans="1:53" ht="16" customHeight="1" x14ac:dyDescent="0.2">
      <c r="A137" s="16"/>
      <c r="B137" s="16"/>
      <c r="C137" s="16"/>
      <c r="D137" s="16"/>
      <c r="E137" s="16"/>
      <c r="F137" s="16"/>
      <c r="G137" s="16"/>
      <c r="H137" s="16" t="s">
        <v>1449</v>
      </c>
      <c r="I137" s="16"/>
      <c r="J137" s="16"/>
      <c r="K137" s="16"/>
      <c r="L137" s="16"/>
      <c r="M137" s="16"/>
      <c r="N137" s="16"/>
      <c r="O137" s="16"/>
      <c r="P137" s="16"/>
      <c r="Q137" s="16"/>
      <c r="R137" s="16"/>
      <c r="S137" s="16"/>
      <c r="T137" s="16"/>
      <c r="U137" s="16"/>
      <c r="V137" s="17"/>
      <c r="W137" s="138"/>
      <c r="X137" s="69" t="str">
        <f>X3</f>
        <v>Date</v>
      </c>
      <c r="Y137" s="69" t="str">
        <f>Y3</f>
        <v>Hour</v>
      </c>
      <c r="Z137" s="67"/>
      <c r="AA137" s="68" t="str">
        <f>AA3</f>
        <v>Home</v>
      </c>
      <c r="AB137" s="67" t="s">
        <v>13</v>
      </c>
      <c r="AC137" s="69" t="s">
        <v>18</v>
      </c>
      <c r="AD137" s="69" t="s">
        <v>18</v>
      </c>
      <c r="AE137" s="67" t="s">
        <v>13</v>
      </c>
      <c r="AF137" s="102" t="str">
        <f>AF3</f>
        <v>Away</v>
      </c>
      <c r="AG137" s="328"/>
      <c r="AH137" s="197"/>
      <c r="AI137" s="182"/>
      <c r="AJ137" s="148"/>
      <c r="AK137" s="148"/>
      <c r="AL137" s="148"/>
      <c r="AM137" s="153"/>
      <c r="AN137" s="153"/>
      <c r="AO137" s="153"/>
      <c r="AP137" s="153"/>
      <c r="AQ137" s="153"/>
      <c r="AR137" s="153"/>
      <c r="AS137" s="153"/>
      <c r="AT137" s="153"/>
      <c r="AU137" s="334"/>
      <c r="AV137" s="181"/>
      <c r="AW137" s="153"/>
      <c r="AX137" s="153"/>
      <c r="AY137" s="154"/>
      <c r="AZ137" s="155"/>
      <c r="BA137" s="176"/>
    </row>
    <row r="138" spans="1:53" ht="16" customHeight="1" x14ac:dyDescent="0.2">
      <c r="A138" s="16" t="s">
        <v>765</v>
      </c>
      <c r="B138" s="16" t="s">
        <v>766</v>
      </c>
      <c r="C138" s="16"/>
      <c r="D138" s="16" t="str">
        <f>IF(AND(OR(AC138="",AD138="")),"W"&amp;AH138,IF(AC138&gt;AD138,AA138,IF(AC138&lt;AD138,AF138,IF(AND(AC138=AD138,AB138=AE138),"W"&amp;AH138,IF(AND(AC138=AD138,OR(AB138="",AE138="")),"W"&amp;AH138,IF(AND(AC138=AD138,AB138&gt;AE138),AA138,AF138))))))</f>
        <v>W101</v>
      </c>
      <c r="E138" s="16">
        <v>97</v>
      </c>
      <c r="F138" s="16">
        <v>98</v>
      </c>
      <c r="G138" s="16"/>
      <c r="H138" s="16" t="str">
        <f>IF(AND(OR(AC138="",AD138="")),"L101",IF(AC138&gt;AD138,AF138,IF(AC138&lt;AD138,AA138,IF(AND(AC138=AD138,AB138=AE138),"L101",IF(AND(AC138=AD138,OR(AB138="",AE138="")),"L101",IF(AND(AC138=AD138,AB138&gt;AE138),AF138,AA138))))))</f>
        <v>L101</v>
      </c>
      <c r="I138" s="16"/>
      <c r="J138" s="16">
        <v>101</v>
      </c>
      <c r="K138" s="16">
        <v>46217.875</v>
      </c>
      <c r="L138" s="16" t="s">
        <v>724</v>
      </c>
      <c r="M138" s="16" t="str">
        <f>+INDEX($D$101:$D$147,MATCH(E138,$AH$101:$AH$147,0))</f>
        <v>W97</v>
      </c>
      <c r="N138" s="16" t="str">
        <f>+INDEX($D$101:$D$147,MATCH(F138,$AH$101:$AH$147,0))</f>
        <v>W98</v>
      </c>
      <c r="O138" s="16"/>
      <c r="P138" s="16"/>
      <c r="Q138" s="16"/>
      <c r="R138" s="16"/>
      <c r="S138" s="16"/>
      <c r="T138" s="16"/>
      <c r="U138" s="16"/>
      <c r="V138" s="17"/>
      <c r="W138" s="681" t="s">
        <v>37</v>
      </c>
      <c r="X138" s="24">
        <f ca="1">Horarios!C138</f>
        <v>46217.625</v>
      </c>
      <c r="Y138" s="25">
        <f ca="1">Horarios!C138</f>
        <v>46217.625</v>
      </c>
      <c r="Z138" s="282">
        <f t="shared" ref="Z138:Z139" si="326">AH138</f>
        <v>101</v>
      </c>
      <c r="AA138" s="88" t="str">
        <f t="shared" ref="AA138:AA139" si="327">+INDEX($M$101:$M$147,MATCH(AH138,$J$101:$J$147,0))</f>
        <v>W97</v>
      </c>
      <c r="AB138" s="89"/>
      <c r="AC138" s="101"/>
      <c r="AD138" s="101"/>
      <c r="AE138" s="89"/>
      <c r="AF138" s="116" t="str">
        <f>+INDEX($N$101:$N$147,MATCH(AH138,$J$101:$J$147,0))</f>
        <v>W98</v>
      </c>
      <c r="AG138" s="327">
        <f>IF(D138="W"&amp;AH138,0,1)</f>
        <v>0</v>
      </c>
      <c r="AH138" s="196">
        <v>101</v>
      </c>
      <c r="AI138" s="182"/>
      <c r="AJ138" s="148"/>
      <c r="AK138" s="148"/>
      <c r="AL138" s="148"/>
      <c r="AM138" s="153"/>
      <c r="AN138" s="153"/>
      <c r="AO138" s="153"/>
      <c r="AP138" s="153"/>
      <c r="AQ138" s="153"/>
      <c r="AR138" s="153"/>
      <c r="AS138" s="153"/>
      <c r="AT138" s="153"/>
      <c r="AU138" s="334"/>
      <c r="AV138" s="181"/>
      <c r="AW138" s="153"/>
      <c r="AX138" s="153"/>
      <c r="AY138" s="154"/>
      <c r="AZ138" s="155"/>
      <c r="BA138" s="176"/>
    </row>
    <row r="139" spans="1:53" ht="16" customHeight="1" thickBot="1" x14ac:dyDescent="0.25">
      <c r="A139" s="16" t="s">
        <v>767</v>
      </c>
      <c r="B139" s="16" t="s">
        <v>768</v>
      </c>
      <c r="C139" s="16"/>
      <c r="D139" s="16" t="str">
        <f>IF(AND(OR(AC139="",AD139="")),"W"&amp;AH139,IF(AC139&gt;AD139,AA139,IF(AC139&lt;AD139,AF139,IF(AND(AC139=AD139,AB139=AE139),"W"&amp;AH139,IF(AND(AC139=AD139,OR(AB139="",AE139="")),"W"&amp;AH139,IF(AND(AC139=AD139,AB139&gt;AE139),AA139,AF139))))))</f>
        <v>W102</v>
      </c>
      <c r="E139" s="16">
        <v>99</v>
      </c>
      <c r="F139" s="16">
        <v>100</v>
      </c>
      <c r="G139" s="16"/>
      <c r="H139" s="16" t="str">
        <f>IF(AND(OR(AC139="",AD139="")),"L102",IF(AC139&gt;AD139,AF139,IF(AC139&lt;AD139,AA139,IF(AND(AC139=AD139,AB139=AE139),"W102",IF(AND(AC139=AD139,OR(AB139="",AE139="")),"L102",IF(AND(AC139=AD139,AB139&gt;AE139),AF139,AA139))))))</f>
        <v>L102</v>
      </c>
      <c r="I139" s="16"/>
      <c r="J139" s="16">
        <v>102</v>
      </c>
      <c r="K139" s="16">
        <v>46218.875</v>
      </c>
      <c r="L139" s="16" t="s">
        <v>725</v>
      </c>
      <c r="M139" s="16" t="str">
        <f>+INDEX($D$101:$D$147,MATCH(E139,$AH$101:$AH$147,0))</f>
        <v>W99</v>
      </c>
      <c r="N139" s="16" t="str">
        <f>+INDEX($D$101:$D$147,MATCH(F139,$AH$101:$AH$147,0))</f>
        <v>W100</v>
      </c>
      <c r="O139" s="16"/>
      <c r="P139" s="16"/>
      <c r="Q139" s="16"/>
      <c r="R139" s="16"/>
      <c r="S139" s="16"/>
      <c r="T139" s="16"/>
      <c r="U139" s="16"/>
      <c r="V139" s="17"/>
      <c r="W139" s="682"/>
      <c r="X139" s="123">
        <f ca="1">Horarios!C139</f>
        <v>46218.625</v>
      </c>
      <c r="Y139" s="124">
        <f ca="1">Horarios!C139</f>
        <v>46218.625</v>
      </c>
      <c r="Z139" s="284">
        <f t="shared" si="326"/>
        <v>102</v>
      </c>
      <c r="AA139" s="139" t="str">
        <f t="shared" si="327"/>
        <v>W99</v>
      </c>
      <c r="AB139" s="140"/>
      <c r="AC139" s="100"/>
      <c r="AD139" s="100"/>
      <c r="AE139" s="140"/>
      <c r="AF139" s="141" t="str">
        <f>+INDEX($N$101:$N$147,MATCH(AH139,$J$101:$J$147,0))</f>
        <v>W100</v>
      </c>
      <c r="AG139" s="327">
        <f>IF(D139="W"&amp;AH139,0,1)</f>
        <v>0</v>
      </c>
      <c r="AH139" s="196">
        <v>102</v>
      </c>
      <c r="AI139" s="182"/>
      <c r="AJ139" s="148"/>
      <c r="AK139" s="148"/>
      <c r="AL139" s="148"/>
      <c r="AM139" s="153"/>
      <c r="AN139" s="153"/>
      <c r="AO139" s="153"/>
      <c r="AP139" s="153"/>
      <c r="AQ139" s="153"/>
      <c r="AR139" s="153"/>
      <c r="AS139" s="153"/>
      <c r="AT139" s="153"/>
      <c r="AU139" s="334"/>
      <c r="AV139" s="181"/>
      <c r="AW139" s="153"/>
      <c r="AX139" s="153"/>
      <c r="AY139" s="154"/>
      <c r="AZ139" s="155"/>
      <c r="BA139" s="176"/>
    </row>
    <row r="140" spans="1:53" ht="16" customHeight="1" thickBot="1" x14ac:dyDescent="0.25">
      <c r="A140" s="16"/>
      <c r="B140" s="16"/>
      <c r="C140" s="16"/>
      <c r="D140" s="16"/>
      <c r="E140" s="16"/>
      <c r="F140" s="16"/>
      <c r="G140" s="16"/>
      <c r="H140" s="16"/>
      <c r="I140" s="16"/>
      <c r="J140" s="16"/>
      <c r="K140" s="16"/>
      <c r="L140" s="16"/>
      <c r="M140" s="16"/>
      <c r="N140" s="16"/>
      <c r="O140" s="16"/>
      <c r="P140" s="16"/>
      <c r="Q140" s="16"/>
      <c r="R140" s="16"/>
      <c r="S140" s="16"/>
      <c r="T140" s="16"/>
      <c r="U140" s="16"/>
      <c r="V140" s="17"/>
      <c r="W140" s="154"/>
      <c r="X140" s="155"/>
      <c r="Y140" s="154"/>
      <c r="Z140" s="156"/>
      <c r="AA140" s="157"/>
      <c r="AB140" s="158"/>
      <c r="AC140" s="151"/>
      <c r="AD140" s="151"/>
      <c r="AE140" s="158"/>
      <c r="AF140" s="159"/>
      <c r="AG140" s="328"/>
      <c r="AH140" s="197"/>
      <c r="AI140" s="182"/>
      <c r="AJ140" s="148"/>
      <c r="AK140" s="148"/>
      <c r="AL140" s="148"/>
      <c r="AM140" s="153"/>
      <c r="AN140" s="153"/>
      <c r="AO140" s="153"/>
      <c r="AP140" s="153"/>
      <c r="AQ140" s="153"/>
      <c r="AR140" s="153"/>
      <c r="AS140" s="153"/>
      <c r="AT140" s="153"/>
      <c r="AU140" s="334"/>
      <c r="AV140" s="181"/>
      <c r="AW140" s="153"/>
      <c r="AX140" s="153"/>
      <c r="AY140" s="154"/>
      <c r="AZ140" s="155"/>
      <c r="BA140" s="176"/>
    </row>
    <row r="141" spans="1:53" ht="16" customHeight="1" thickBot="1" x14ac:dyDescent="0.25">
      <c r="A141" s="16"/>
      <c r="B141" s="16"/>
      <c r="C141" s="16"/>
      <c r="D141" s="16"/>
      <c r="E141" s="16"/>
      <c r="F141" s="16"/>
      <c r="G141" s="16"/>
      <c r="H141" s="16"/>
      <c r="I141" s="16"/>
      <c r="J141" s="16"/>
      <c r="K141" s="16"/>
      <c r="L141" s="16"/>
      <c r="M141" s="16"/>
      <c r="N141" s="16"/>
      <c r="O141" s="16"/>
      <c r="P141" s="16"/>
      <c r="Q141" s="16"/>
      <c r="R141" s="16"/>
      <c r="S141" s="16"/>
      <c r="T141" s="16"/>
      <c r="U141" s="16"/>
      <c r="V141" s="17"/>
      <c r="W141" s="118" t="str">
        <f>Idiomas!D31</f>
        <v>3rd-4th place</v>
      </c>
      <c r="X141" s="119"/>
      <c r="Y141" s="120"/>
      <c r="Z141" s="120"/>
      <c r="AA141" s="120"/>
      <c r="AB141" s="120"/>
      <c r="AC141" s="120"/>
      <c r="AD141" s="120"/>
      <c r="AE141" s="120"/>
      <c r="AF141" s="121"/>
      <c r="AG141" s="328"/>
      <c r="AH141" s="197"/>
      <c r="AI141" s="182"/>
      <c r="AJ141" s="148"/>
      <c r="AK141" s="148"/>
      <c r="AL141" s="148"/>
      <c r="AM141" s="153"/>
      <c r="AN141" s="153"/>
      <c r="AO141" s="153"/>
      <c r="AP141" s="153"/>
      <c r="AQ141" s="176"/>
      <c r="AR141" s="153"/>
      <c r="AS141" s="153"/>
      <c r="AT141" s="153"/>
      <c r="AU141" s="334"/>
      <c r="AV141" s="181"/>
      <c r="AW141" s="153"/>
      <c r="AX141" s="153"/>
      <c r="AY141" s="154"/>
      <c r="AZ141" s="155"/>
      <c r="BA141" s="176"/>
    </row>
    <row r="142" spans="1:53" ht="16" customHeight="1"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7"/>
      <c r="W142" s="122"/>
      <c r="X142" s="69" t="str">
        <f>X3</f>
        <v>Date</v>
      </c>
      <c r="Y142" s="69" t="str">
        <f>Y3</f>
        <v>Hour</v>
      </c>
      <c r="Z142" s="67"/>
      <c r="AA142" s="68" t="str">
        <f>AA3</f>
        <v>Home</v>
      </c>
      <c r="AB142" s="67" t="s">
        <v>13</v>
      </c>
      <c r="AC142" s="69" t="str">
        <f>AC3</f>
        <v>Goal</v>
      </c>
      <c r="AD142" s="69" t="str">
        <f>AD3</f>
        <v>Goal</v>
      </c>
      <c r="AE142" s="67" t="s">
        <v>13</v>
      </c>
      <c r="AF142" s="102" t="str">
        <f>AF3</f>
        <v>Away</v>
      </c>
      <c r="AG142" s="328"/>
      <c r="AH142" s="197"/>
      <c r="AI142" s="182"/>
      <c r="AJ142" s="148"/>
      <c r="AK142" s="148"/>
      <c r="AL142" s="148"/>
      <c r="AM142" s="153"/>
      <c r="AN142" s="153"/>
      <c r="AO142" s="153"/>
      <c r="AP142" s="153"/>
      <c r="AQ142" s="153"/>
      <c r="AR142" s="153"/>
      <c r="AS142" s="153"/>
      <c r="AT142" s="153"/>
      <c r="AU142" s="334"/>
      <c r="AV142" s="181"/>
      <c r="AW142" s="153"/>
      <c r="AX142" s="153"/>
      <c r="AY142" s="154"/>
      <c r="AZ142" s="155"/>
      <c r="BA142" s="176"/>
    </row>
    <row r="143" spans="1:53" ht="16" customHeight="1" thickBot="1" x14ac:dyDescent="0.25">
      <c r="A143" s="16" t="s">
        <v>769</v>
      </c>
      <c r="B143" s="16" t="s">
        <v>770</v>
      </c>
      <c r="C143" s="16"/>
      <c r="D143" s="16" t="str">
        <f>IF(AND(OR(AC143="",AD143="")),"W"&amp;AH143,IF(AC143&gt;AD143,AA143,IF(AC143&lt;AD143,AF143,IF(AND(AC143=AD143,AB143=AE143),"W"&amp;AH143,IF(AND(AC143=AD143,OR(AB143="",AE143="")),"W"&amp;AH143,IF(AND(AC143=AD143,AB143&gt;AE143),AA143,AF143))))))</f>
        <v>W103</v>
      </c>
      <c r="E143" s="16">
        <v>101</v>
      </c>
      <c r="F143" s="16">
        <v>102</v>
      </c>
      <c r="G143" s="16"/>
      <c r="H143" s="16"/>
      <c r="I143" s="16"/>
      <c r="J143" s="16">
        <v>103</v>
      </c>
      <c r="K143" s="16">
        <v>46221.875</v>
      </c>
      <c r="L143" s="16" t="s">
        <v>726</v>
      </c>
      <c r="M143" s="16" t="str">
        <f>+INDEX($D$101:$D$147,MATCH(E143,$AH$101:$AH$147,0))</f>
        <v>W101</v>
      </c>
      <c r="N143" s="16" t="str">
        <f>+INDEX($D$101:$D$147,MATCH(F143,$AH$101:$AH$147,0))</f>
        <v>W102</v>
      </c>
      <c r="O143" s="16"/>
      <c r="P143" s="16"/>
      <c r="Q143" s="16"/>
      <c r="R143" s="16"/>
      <c r="S143" s="16"/>
      <c r="T143" s="16"/>
      <c r="U143" s="16"/>
      <c r="V143" s="17"/>
      <c r="W143" s="142" t="s">
        <v>503</v>
      </c>
      <c r="X143" s="123">
        <f ca="1">Horarios!C143</f>
        <v>46221.708333333336</v>
      </c>
      <c r="Y143" s="124">
        <f ca="1">Horarios!C143</f>
        <v>46221.708333333336</v>
      </c>
      <c r="Z143" s="285">
        <f>AH143</f>
        <v>103</v>
      </c>
      <c r="AA143" s="104" t="str">
        <f>IF(AND(OR(AC138="",AD138="")),"L101",IF(AC138&gt;AD138,AF138,IF(AC138&lt;AD138,AA138,IF(AND(AC138=AD138,AB138=AE138),"L101",IF(AND(AC138=AD138,OR(AB138="",AE138="")),"L101",IF(AND(AC138=AD138,AB138&gt;AE138),AF138,AA138))))))</f>
        <v>L101</v>
      </c>
      <c r="AB143" s="216"/>
      <c r="AC143" s="105"/>
      <c r="AD143" s="105"/>
      <c r="AE143" s="216"/>
      <c r="AF143" s="106" t="str">
        <f>IF(AND(OR(AC139="",AD139="")),"L102",IF(AC139&gt;AD139,AF139,IF(AC139&lt;AD139,AA139,IF(AND(AC139=AD139,AB139=AE139),"L102",IF(AND(AC139=AD139,OR(AB139="",AE139="")),"L102",IF(AND(AC139=AD139,AB139&gt;AE139),AF139,AA139))))))</f>
        <v>L102</v>
      </c>
      <c r="AG143" s="327">
        <f>IF(D143="W"&amp;AH143,0,1)</f>
        <v>0</v>
      </c>
      <c r="AH143" s="196">
        <v>103</v>
      </c>
      <c r="AI143" s="182"/>
      <c r="AJ143" s="148"/>
      <c r="AK143" s="148"/>
      <c r="AL143" s="148"/>
      <c r="AM143" s="153"/>
      <c r="AN143" s="153"/>
      <c r="AO143" s="153"/>
      <c r="AP143" s="153"/>
      <c r="AQ143" s="153"/>
      <c r="AR143" s="153"/>
      <c r="AS143" s="153"/>
      <c r="AT143" s="153"/>
      <c r="AU143" s="334"/>
      <c r="AV143" s="181"/>
      <c r="AW143" s="153"/>
      <c r="AX143" s="153"/>
      <c r="AY143" s="154"/>
      <c r="AZ143" s="155"/>
      <c r="BA143" s="176"/>
    </row>
    <row r="144" spans="1:53" ht="16" customHeight="1" thickBot="1" x14ac:dyDescent="0.25">
      <c r="A144" s="16"/>
      <c r="B144" s="16"/>
      <c r="C144" s="16"/>
      <c r="D144" s="16"/>
      <c r="E144" s="16"/>
      <c r="F144" s="16"/>
      <c r="G144" s="16"/>
      <c r="H144" s="16"/>
      <c r="I144" s="16"/>
      <c r="J144" s="16"/>
      <c r="K144" s="16"/>
      <c r="L144" s="16"/>
      <c r="M144" s="16"/>
      <c r="N144" s="16"/>
      <c r="O144" s="16"/>
      <c r="P144" s="16"/>
      <c r="Q144" s="16"/>
      <c r="R144" s="16"/>
      <c r="S144" s="16"/>
      <c r="T144" s="16"/>
      <c r="U144" s="16"/>
      <c r="V144" s="17"/>
      <c r="W144" s="154"/>
      <c r="X144" s="155"/>
      <c r="Y144" s="154"/>
      <c r="Z144" s="156"/>
      <c r="AA144" s="157"/>
      <c r="AB144" s="158"/>
      <c r="AC144" s="151"/>
      <c r="AD144" s="151"/>
      <c r="AE144" s="158"/>
      <c r="AF144" s="159"/>
      <c r="AG144" s="328"/>
      <c r="AH144" s="196"/>
      <c r="AI144" s="182"/>
      <c r="AJ144" s="148"/>
      <c r="AK144" s="148"/>
      <c r="AL144" s="148"/>
      <c r="AM144" s="153"/>
      <c r="AN144" s="153"/>
      <c r="AO144" s="153"/>
      <c r="AP144" s="153"/>
      <c r="AQ144" s="153"/>
      <c r="AR144" s="153"/>
      <c r="AS144" s="153"/>
      <c r="AT144" s="153"/>
      <c r="AU144" s="334"/>
      <c r="AV144" s="181"/>
      <c r="AW144" s="153"/>
      <c r="AX144" s="153"/>
      <c r="AY144" s="154"/>
      <c r="AZ144" s="155"/>
      <c r="BA144" s="176"/>
    </row>
    <row r="145" spans="1:53" ht="16" customHeight="1" thickBot="1" x14ac:dyDescent="0.25">
      <c r="A145" s="16"/>
      <c r="B145" s="16"/>
      <c r="C145" s="16"/>
      <c r="D145" s="16"/>
      <c r="E145" s="16"/>
      <c r="F145" s="16"/>
      <c r="G145" s="16"/>
      <c r="H145" s="16"/>
      <c r="I145" s="16"/>
      <c r="J145" s="16"/>
      <c r="K145" s="16"/>
      <c r="L145" s="16"/>
      <c r="M145" s="16"/>
      <c r="N145" s="16"/>
      <c r="O145" s="16"/>
      <c r="P145" s="16"/>
      <c r="Q145" s="16"/>
      <c r="R145" s="16"/>
      <c r="S145" s="16"/>
      <c r="T145" s="16"/>
      <c r="U145" s="16"/>
      <c r="V145" s="17"/>
      <c r="W145" s="118" t="str">
        <f>Idiomas!D32</f>
        <v>Final</v>
      </c>
      <c r="X145" s="119"/>
      <c r="Y145" s="120"/>
      <c r="Z145" s="120"/>
      <c r="AA145" s="137"/>
      <c r="AB145" s="120"/>
      <c r="AC145" s="120"/>
      <c r="AD145" s="120"/>
      <c r="AE145" s="120"/>
      <c r="AF145" s="121"/>
      <c r="AG145" s="328"/>
      <c r="AH145" s="196"/>
      <c r="AI145" s="182"/>
      <c r="AJ145" s="148"/>
      <c r="AK145" s="148"/>
      <c r="AL145" s="148"/>
      <c r="AM145" s="153"/>
      <c r="AN145" s="153"/>
      <c r="AO145" s="153"/>
      <c r="AP145" s="153"/>
      <c r="AQ145" s="153"/>
      <c r="AR145" s="153"/>
      <c r="AS145" s="153"/>
      <c r="AT145" s="153"/>
      <c r="AU145" s="334"/>
      <c r="AV145" s="181"/>
      <c r="AW145" s="153"/>
      <c r="AX145" s="153"/>
      <c r="AY145" s="154"/>
      <c r="AZ145" s="155"/>
      <c r="BA145" s="176"/>
    </row>
    <row r="146" spans="1:53" ht="16" customHeight="1"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7"/>
      <c r="W146" s="138"/>
      <c r="X146" s="69" t="str">
        <f>X3</f>
        <v>Date</v>
      </c>
      <c r="Y146" s="69" t="str">
        <f>Y3</f>
        <v>Hour</v>
      </c>
      <c r="Z146" s="67"/>
      <c r="AA146" s="68" t="str">
        <f>AA3</f>
        <v>Home</v>
      </c>
      <c r="AB146" s="67" t="s">
        <v>13</v>
      </c>
      <c r="AC146" s="69" t="s">
        <v>18</v>
      </c>
      <c r="AD146" s="69" t="s">
        <v>18</v>
      </c>
      <c r="AE146" s="67" t="s">
        <v>13</v>
      </c>
      <c r="AF146" s="102" t="str">
        <f>AF3</f>
        <v>Away</v>
      </c>
      <c r="AG146" s="328"/>
      <c r="AH146" s="196"/>
      <c r="AI146" s="179"/>
      <c r="AJ146" s="145"/>
      <c r="AK146" s="145"/>
      <c r="AL146" s="148"/>
      <c r="AM146" s="153"/>
      <c r="AN146" s="153"/>
      <c r="AO146" s="153"/>
      <c r="AP146" s="153"/>
      <c r="AQ146" s="153"/>
      <c r="AR146" s="153"/>
      <c r="AS146" s="153"/>
      <c r="AT146" s="153"/>
      <c r="AU146" s="334"/>
      <c r="AV146" s="181"/>
      <c r="AW146" s="153"/>
      <c r="AX146" s="153"/>
      <c r="AY146" s="154"/>
      <c r="AZ146" s="155"/>
      <c r="BA146" s="176"/>
    </row>
    <row r="147" spans="1:53" ht="16" customHeight="1" thickBot="1" x14ac:dyDescent="0.25">
      <c r="A147" s="16" t="s">
        <v>771</v>
      </c>
      <c r="B147" s="16" t="s">
        <v>772</v>
      </c>
      <c r="C147" s="16"/>
      <c r="D147" s="16" t="str">
        <f>IF(AND(OR(AC147="",AD147="")),"W"&amp;AH147,IF(AC147&gt;AD147,AA147,IF(AC147&lt;AD147,AF147,IF(AND(AC147=AD147,AB147=AE147),"W"&amp;AH147,IF(AND(AC147=AD147,OR(AB147="",AE147="")),"W"&amp;AH147,IF(AND(AC147=AD147,AB147&gt;AE147),AA147,AF147))))))</f>
        <v>W104</v>
      </c>
      <c r="E147" s="16">
        <v>101</v>
      </c>
      <c r="F147" s="16">
        <v>102</v>
      </c>
      <c r="G147" s="16"/>
      <c r="H147" s="16" t="str">
        <f>IF(AND(OR(AC147="",AD147="")),"LF",IF(AC147&gt;AD147,AF147,IF(AC147&lt;AD147,AA147,IF(AND(AC147=AD147,AB147=AE147),"LF",IF(AND(AC147=AD147,OR(AB147="",AE147="")),"LF",IF(AND(AC147=AD147,AB147&gt;AE147),AF147,AA147))))))</f>
        <v>LF</v>
      </c>
      <c r="I147" s="16"/>
      <c r="J147" s="16">
        <v>104</v>
      </c>
      <c r="K147" s="16">
        <v>46222.875</v>
      </c>
      <c r="L147" s="16" t="s">
        <v>727</v>
      </c>
      <c r="M147" s="16" t="str">
        <f>+INDEX($D$101:$D$147,MATCH(E147,$AH$101:$AH$147,0))</f>
        <v>W101</v>
      </c>
      <c r="N147" s="16" t="str">
        <f>+INDEX($D$101:$D$147,MATCH(F147,$AH$101:$AH$147,0))</f>
        <v>W102</v>
      </c>
      <c r="O147" s="16"/>
      <c r="P147" s="16"/>
      <c r="Q147" s="16"/>
      <c r="R147" s="16"/>
      <c r="S147" s="16"/>
      <c r="T147" s="16"/>
      <c r="U147" s="16"/>
      <c r="V147" s="17"/>
      <c r="W147" s="143" t="s">
        <v>4</v>
      </c>
      <c r="X147" s="123">
        <f ca="1">Horarios!C147</f>
        <v>46222.625</v>
      </c>
      <c r="Y147" s="124">
        <f ca="1">Horarios!C147</f>
        <v>46222.625</v>
      </c>
      <c r="Z147" s="285">
        <f>AH147</f>
        <v>104</v>
      </c>
      <c r="AA147" s="104" t="str">
        <f>IF(AND(OR(AC138="",AD138="")),"W"&amp;AH138,IF(AC138&gt;AD138,AA138,IF(AC138&lt;AD138,AF138,IF(AND(AC138=AD138,AB138=AE138),"W"&amp;AH138,IF(AND(AC138=AD138,OR(AB138="",AE138="")),"W"&amp;AH138,IF(AND(AC138=AD138,AB138&gt;AE138),AA138,AF138))))))</f>
        <v>W101</v>
      </c>
      <c r="AB147" s="216"/>
      <c r="AC147" s="105"/>
      <c r="AD147" s="105"/>
      <c r="AE147" s="216"/>
      <c r="AF147" s="106" t="str">
        <f>IF(AND(OR(AC139="",AD139="")),"W"&amp;AH139,IF(AC139&gt;AD139,AA139,IF(AC139&lt;AD139,AF139,IF(AND(AC139=AD139,AB139=AE139),"W"&amp;AH139,IF(AND(AC139=AD139,OR(AB139="",AE139="")),"W"&amp;AH139,IF(AND(AC139=AD139,AB139&gt;AE139),AA139,AF139))))))</f>
        <v>W102</v>
      </c>
      <c r="AG147" s="327">
        <f>IF(D147="W"&amp;AH147,0,1)</f>
        <v>0</v>
      </c>
      <c r="AH147" s="196">
        <v>104</v>
      </c>
      <c r="AI147" s="179"/>
      <c r="AJ147" s="145"/>
      <c r="AK147" s="145"/>
      <c r="AL147" s="148"/>
      <c r="AM147" s="145"/>
      <c r="AN147" s="145"/>
      <c r="AO147" s="145"/>
      <c r="AP147" s="146"/>
      <c r="AQ147" s="146"/>
      <c r="AR147" s="146"/>
      <c r="AS147" s="146"/>
      <c r="AT147" s="146"/>
      <c r="AU147" s="188"/>
      <c r="AV147" s="188"/>
      <c r="AW147" s="148"/>
      <c r="AX147" s="148"/>
      <c r="AY147" s="154"/>
      <c r="AZ147" s="155"/>
      <c r="BA147" s="176"/>
    </row>
    <row r="148" spans="1:53" ht="16" customHeight="1" thickBot="1" x14ac:dyDescent="0.25">
      <c r="A148" s="16"/>
      <c r="B148" s="16"/>
      <c r="C148" s="16"/>
      <c r="D148" s="16"/>
      <c r="E148" s="16"/>
      <c r="F148" s="16"/>
      <c r="G148" s="16"/>
      <c r="H148" s="16"/>
      <c r="I148" s="16"/>
      <c r="J148" s="16"/>
      <c r="K148" s="16"/>
      <c r="L148" s="16"/>
      <c r="M148" s="16"/>
      <c r="N148" s="16"/>
      <c r="O148" s="16"/>
      <c r="P148" s="16"/>
      <c r="Q148" s="16"/>
      <c r="R148" s="16"/>
      <c r="S148" s="16"/>
      <c r="T148" s="16"/>
      <c r="U148" s="16"/>
      <c r="V148" s="17"/>
      <c r="W148" s="154"/>
      <c r="X148" s="155"/>
      <c r="Y148" s="154"/>
      <c r="Z148" s="156"/>
      <c r="AA148" s="157"/>
      <c r="AB148" s="158"/>
      <c r="AC148" s="151"/>
      <c r="AD148" s="151"/>
      <c r="AE148" s="158"/>
      <c r="AF148" s="159"/>
      <c r="AG148" s="328"/>
      <c r="AH148" s="183"/>
      <c r="AI148" s="183"/>
      <c r="AJ148" s="153"/>
      <c r="AK148" s="153"/>
      <c r="AL148" s="181" t="str">
        <f>Idiomas!D47</f>
        <v>INCOMPLETE POOL:</v>
      </c>
      <c r="AM148" s="181" t="str">
        <f>Idiomas!D48</f>
        <v>You may have left over some match-ups without prediction or you may have not written your name</v>
      </c>
      <c r="AN148" s="153"/>
      <c r="AO148" s="153"/>
      <c r="AP148" s="153"/>
      <c r="AQ148" s="153"/>
      <c r="AR148" s="153"/>
      <c r="AS148" s="153"/>
      <c r="AT148" s="153"/>
      <c r="AU148" s="334"/>
      <c r="AV148" s="181"/>
      <c r="AW148" s="153"/>
      <c r="AX148" s="153"/>
      <c r="AY148" s="154"/>
      <c r="AZ148" s="155"/>
      <c r="BA148" s="176"/>
    </row>
    <row r="149" spans="1:53" ht="16" customHeight="1" thickBot="1" x14ac:dyDescent="0.25">
      <c r="A149" s="16"/>
      <c r="B149" s="16"/>
      <c r="C149" s="16"/>
      <c r="D149" s="16"/>
      <c r="E149" s="16"/>
      <c r="F149" s="16"/>
      <c r="G149" s="16"/>
      <c r="H149" s="16"/>
      <c r="I149" s="16"/>
      <c r="J149" s="16"/>
      <c r="K149" s="16"/>
      <c r="L149" s="16"/>
      <c r="M149" s="16"/>
      <c r="N149" s="16"/>
      <c r="O149" s="16"/>
      <c r="P149" s="16"/>
      <c r="Q149" s="16"/>
      <c r="R149" s="16"/>
      <c r="S149" s="16"/>
      <c r="T149" s="16"/>
      <c r="U149" s="16"/>
      <c r="V149" s="17"/>
      <c r="W149" s="125"/>
      <c r="X149" s="126"/>
      <c r="Y149" s="127"/>
      <c r="Z149" s="127"/>
      <c r="AA149" s="128" t="str">
        <f>Idiomas!D33</f>
        <v>Honor box</v>
      </c>
      <c r="AB149" s="127"/>
      <c r="AC149" s="126"/>
      <c r="AD149" s="126"/>
      <c r="AE149" s="127"/>
      <c r="AF149" s="129"/>
      <c r="AG149" s="329"/>
      <c r="AH149" s="184"/>
      <c r="AI149" s="183"/>
      <c r="AJ149" s="153"/>
      <c r="AK149" s="153"/>
      <c r="AL149" s="181" t="str">
        <f>Idiomas!D49</f>
        <v>POOL COMPLETED</v>
      </c>
      <c r="AM149" s="181" t="str">
        <f>Idiomas!D50</f>
        <v>Save the file and send it over by email.</v>
      </c>
      <c r="AN149" s="153"/>
      <c r="AO149" s="153"/>
      <c r="AP149" s="153"/>
      <c r="AQ149" s="153"/>
      <c r="AR149" s="153"/>
      <c r="AS149" s="153"/>
      <c r="AT149" s="153"/>
      <c r="AU149" s="334"/>
      <c r="AV149" s="181"/>
      <c r="AW149" s="153"/>
      <c r="AX149" s="153"/>
      <c r="AY149" s="154"/>
      <c r="AZ149" s="155"/>
      <c r="BA149" s="176"/>
    </row>
    <row r="150" spans="1:53" ht="16" customHeight="1" thickBot="1" x14ac:dyDescent="0.25">
      <c r="A150" s="16"/>
      <c r="B150" s="16"/>
      <c r="C150" s="16"/>
      <c r="D150" s="16"/>
      <c r="E150" s="16"/>
      <c r="F150" s="16"/>
      <c r="G150" s="16"/>
      <c r="H150" s="16"/>
      <c r="I150" s="16"/>
      <c r="J150" s="16"/>
      <c r="K150" s="16"/>
      <c r="L150" s="16"/>
      <c r="M150" s="16"/>
      <c r="N150" s="16"/>
      <c r="O150" s="16"/>
      <c r="P150" s="16"/>
      <c r="Q150" s="16"/>
      <c r="R150" s="16"/>
      <c r="S150" s="16"/>
      <c r="T150" s="16"/>
      <c r="U150" s="16"/>
      <c r="V150" s="17"/>
      <c r="W150" s="130" t="str">
        <f>"🥇"&amp;Idiomas!D34</f>
        <v>🥇Winner</v>
      </c>
      <c r="X150" s="115"/>
      <c r="Y150" s="114"/>
      <c r="Z150" s="114"/>
      <c r="AA150" s="217" t="str">
        <f>IF(AND(OR(AC147="",AD147="")),"WF",IF(AC147&gt;AD147,AA147,IF(AC147&lt;AD147,AF147,IF(AND(AC147=AD147,AB147=AE147),"WF",IF(AND(AC147=AD147,OR(AB147="",AE147="")),"WF",IF(AND(AC147=AD147,AB147&gt;AE147),AA147,AF147))))))</f>
        <v>WF</v>
      </c>
      <c r="AB150" s="132"/>
      <c r="AC150" s="132"/>
      <c r="AD150" s="132"/>
      <c r="AE150" s="132"/>
      <c r="AF150" s="133"/>
      <c r="AG150" s="327">
        <f>IF(AA150="WF",0,1)</f>
        <v>0</v>
      </c>
      <c r="AH150" s="184"/>
      <c r="AI150" s="184"/>
      <c r="AJ150" s="145"/>
      <c r="AK150" s="145"/>
      <c r="AL150" s="145"/>
      <c r="AM150" s="145"/>
      <c r="AN150" s="145"/>
      <c r="AO150" s="145"/>
      <c r="AP150" s="145"/>
      <c r="AQ150" s="145"/>
      <c r="AR150" s="145"/>
      <c r="AS150" s="145"/>
      <c r="AT150" s="145"/>
      <c r="AU150" s="332"/>
      <c r="AV150" s="184"/>
      <c r="AW150" s="145"/>
      <c r="AX150" s="145"/>
      <c r="AY150" s="154"/>
      <c r="AZ150" s="155"/>
      <c r="BA150" s="176"/>
    </row>
    <row r="151" spans="1:53" ht="16" customHeight="1"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7"/>
      <c r="W151" s="130" t="str">
        <f>"🥈"&amp;Idiomas!D35</f>
        <v>🥈Runner-up</v>
      </c>
      <c r="X151" s="115"/>
      <c r="Y151" s="114"/>
      <c r="Z151" s="114"/>
      <c r="AA151" s="218" t="str">
        <f>IF(AND(OR(AC147="",AD147="")),"LF",IF(AC147&gt;AD147,AF147,IF(AC147&lt;AD147,AA147,IF(AND(AC147=AD147,AB147=AE147),"LF",IF(AND(AC147=AD147,OR(AB147="",AE147="")),"LF",IF(AND(AC147=AD147,AB147&gt;AE147),AF147,AA147))))))</f>
        <v>LF</v>
      </c>
      <c r="AB151" s="111"/>
      <c r="AC151" s="111"/>
      <c r="AD151" s="111"/>
      <c r="AE151" s="111"/>
      <c r="AF151" s="107"/>
      <c r="AG151" s="327">
        <f>IF(AA151="LF",0,1)</f>
        <v>0</v>
      </c>
      <c r="AH151" s="184"/>
      <c r="AI151" s="184"/>
      <c r="AJ151" s="643" t="str">
        <f>IF(SUM(COUNTIF(AG4:AG97,0),COUNTIF(AG101:AG160,0)&gt;0),AL148,AL149)</f>
        <v>INCOMPLETE POOL:</v>
      </c>
      <c r="AK151" s="644"/>
      <c r="AL151" s="644"/>
      <c r="AM151" s="644"/>
      <c r="AN151" s="644"/>
      <c r="AO151" s="644"/>
      <c r="AP151" s="644"/>
      <c r="AQ151" s="644"/>
      <c r="AR151" s="644"/>
      <c r="AS151" s="644"/>
      <c r="AT151" s="644"/>
      <c r="AU151" s="645"/>
      <c r="AV151" s="193"/>
      <c r="AW151" s="155"/>
      <c r="AX151" s="154"/>
      <c r="AY151" s="156"/>
      <c r="AZ151" s="157"/>
      <c r="BA151" s="176"/>
    </row>
    <row r="152" spans="1:53" ht="16" customHeight="1" thickBot="1" x14ac:dyDescent="0.25">
      <c r="A152" s="16"/>
      <c r="B152" s="16"/>
      <c r="C152" s="16"/>
      <c r="D152" s="16"/>
      <c r="E152" s="16"/>
      <c r="F152" s="16"/>
      <c r="G152" s="16"/>
      <c r="H152" s="16"/>
      <c r="I152" s="16"/>
      <c r="J152" s="16"/>
      <c r="K152" s="16"/>
      <c r="L152" s="16"/>
      <c r="M152" s="16"/>
      <c r="N152" s="16"/>
      <c r="O152" s="16"/>
      <c r="P152" s="16"/>
      <c r="Q152" s="16"/>
      <c r="R152" s="16"/>
      <c r="S152" s="16"/>
      <c r="T152" s="16"/>
      <c r="U152" s="16"/>
      <c r="V152" s="17"/>
      <c r="W152" s="131" t="str">
        <f>"🥉"&amp;Idiomas!D36</f>
        <v>🥉3rd place</v>
      </c>
      <c r="X152" s="108"/>
      <c r="Y152" s="109"/>
      <c r="Z152" s="109"/>
      <c r="AA152" s="219" t="str">
        <f>IF(AND(OR(AC143="",AD143="")),"W34",IF(AC143&gt;AD143,AA143,IF(AC143&lt;AD143,AF143,IF(AND(AC143=AD143,AB143=AE143),"W34",IF(AND(AC143=AD143,OR(AB143="",AE143="")),"W34",IF(AND(AC143=AD143,AB143&gt;AE143),AA143,AF143))))))</f>
        <v>W34</v>
      </c>
      <c r="AB152" s="110"/>
      <c r="AC152" s="110"/>
      <c r="AD152" s="110"/>
      <c r="AE152" s="110"/>
      <c r="AF152" s="103"/>
      <c r="AG152" s="327">
        <f>IF(AA152="W34",0,1)</f>
        <v>0</v>
      </c>
      <c r="AH152" s="184"/>
      <c r="AI152" s="184"/>
      <c r="AJ152" s="646"/>
      <c r="AK152" s="647"/>
      <c r="AL152" s="647"/>
      <c r="AM152" s="647"/>
      <c r="AN152" s="647"/>
      <c r="AO152" s="647"/>
      <c r="AP152" s="647"/>
      <c r="AQ152" s="647"/>
      <c r="AR152" s="647"/>
      <c r="AS152" s="647"/>
      <c r="AT152" s="647"/>
      <c r="AU152" s="648"/>
      <c r="AV152" s="193"/>
      <c r="AW152" s="155"/>
      <c r="AX152" s="154"/>
      <c r="AY152" s="156"/>
      <c r="AZ152" s="157"/>
      <c r="BA152" s="176"/>
    </row>
    <row r="153" spans="1:53" ht="16" customHeight="1" thickBot="1" x14ac:dyDescent="0.25">
      <c r="A153" s="16"/>
      <c r="B153" s="16"/>
      <c r="C153" s="16"/>
      <c r="D153" s="16"/>
      <c r="E153" s="16"/>
      <c r="F153" s="16"/>
      <c r="G153" s="16"/>
      <c r="H153" s="16"/>
      <c r="I153" s="16"/>
      <c r="J153" s="16"/>
      <c r="K153" s="16"/>
      <c r="L153" s="16"/>
      <c r="M153" s="16"/>
      <c r="N153" s="16"/>
      <c r="O153" s="16"/>
      <c r="P153" s="16"/>
      <c r="Q153" s="16"/>
      <c r="R153" s="16"/>
      <c r="S153" s="16"/>
      <c r="T153" s="16"/>
      <c r="U153" s="16"/>
      <c r="V153" s="17"/>
      <c r="W153" s="154"/>
      <c r="X153" s="155"/>
      <c r="Y153" s="154"/>
      <c r="Z153" s="156"/>
      <c r="AA153" s="157"/>
      <c r="AB153" s="158"/>
      <c r="AC153" s="151"/>
      <c r="AD153" s="151"/>
      <c r="AE153" s="158"/>
      <c r="AF153" s="159"/>
      <c r="AG153" s="325"/>
      <c r="AH153" s="184"/>
      <c r="AI153" s="184"/>
      <c r="AJ153" s="646"/>
      <c r="AK153" s="647"/>
      <c r="AL153" s="647"/>
      <c r="AM153" s="647"/>
      <c r="AN153" s="647"/>
      <c r="AO153" s="647"/>
      <c r="AP153" s="647"/>
      <c r="AQ153" s="647"/>
      <c r="AR153" s="647"/>
      <c r="AS153" s="647"/>
      <c r="AT153" s="647"/>
      <c r="AU153" s="648"/>
      <c r="AV153" s="193"/>
      <c r="AW153" s="155"/>
      <c r="AX153" s="154"/>
      <c r="AY153" s="156"/>
      <c r="AZ153" s="157"/>
      <c r="BA153" s="176"/>
    </row>
    <row r="154" spans="1:53" ht="16" customHeight="1"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7"/>
      <c r="W154" s="134" t="str">
        <f>Idiomas!D37</f>
        <v>Golden Boot  (Top Scorer)</v>
      </c>
      <c r="X154" s="135"/>
      <c r="Y154" s="135"/>
      <c r="Z154" s="136"/>
      <c r="AA154" s="220" t="str">
        <f>+Idiomas!D43</f>
        <v>Write a player</v>
      </c>
      <c r="AB154" s="398"/>
      <c r="AC154" s="398"/>
      <c r="AD154" s="398"/>
      <c r="AE154" s="398"/>
      <c r="AF154" s="399"/>
      <c r="AG154" s="327">
        <f>IF(AA154=$AH$154,0,IF(AA154="",0,1))</f>
        <v>0</v>
      </c>
      <c r="AH154" s="198" t="str">
        <f>Idiomas!D43</f>
        <v>Write a player</v>
      </c>
      <c r="AI154" s="184"/>
      <c r="AJ154" s="646"/>
      <c r="AK154" s="647"/>
      <c r="AL154" s="647"/>
      <c r="AM154" s="647"/>
      <c r="AN154" s="647"/>
      <c r="AO154" s="647"/>
      <c r="AP154" s="647"/>
      <c r="AQ154" s="647"/>
      <c r="AR154" s="647"/>
      <c r="AS154" s="647"/>
      <c r="AT154" s="647"/>
      <c r="AU154" s="648"/>
      <c r="AV154" s="193"/>
      <c r="AW154" s="155"/>
      <c r="AX154" s="154"/>
      <c r="AY154" s="156"/>
      <c r="AZ154" s="157"/>
      <c r="BA154" s="176"/>
    </row>
    <row r="155" spans="1:53" ht="16" customHeight="1"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7"/>
      <c r="W155" s="130" t="str">
        <f>Idiomas!D38</f>
        <v>Silver Boot  (2nd Top Scorer)</v>
      </c>
      <c r="X155" s="114"/>
      <c r="Y155" s="114"/>
      <c r="Z155" s="112"/>
      <c r="AA155" s="221" t="str">
        <f>+Idiomas!D43</f>
        <v>Write a player</v>
      </c>
      <c r="AB155" s="400"/>
      <c r="AC155" s="400"/>
      <c r="AD155" s="400"/>
      <c r="AE155" s="400"/>
      <c r="AF155" s="401"/>
      <c r="AG155" s="327">
        <f>IF(AA155=$AH$154,0,IF(AA155="",0,1))</f>
        <v>0</v>
      </c>
      <c r="AH155" s="184"/>
      <c r="AI155" s="184"/>
      <c r="AJ155" s="657" t="str">
        <f>IF(SUM(COUNTIF(AG4:AG97,0),COUNTIF(AG101:AG160,0)&gt;0),AM148,AM149)</f>
        <v>You may have left over some match-ups without prediction or you may have not written your name</v>
      </c>
      <c r="AK155" s="658"/>
      <c r="AL155" s="658"/>
      <c r="AM155" s="658"/>
      <c r="AN155" s="658"/>
      <c r="AO155" s="658"/>
      <c r="AP155" s="658"/>
      <c r="AQ155" s="658"/>
      <c r="AR155" s="658"/>
      <c r="AS155" s="658"/>
      <c r="AT155" s="658"/>
      <c r="AU155" s="659"/>
      <c r="AV155" s="193"/>
      <c r="AW155" s="155"/>
      <c r="AX155" s="154"/>
      <c r="AY155" s="156"/>
      <c r="AZ155" s="157"/>
      <c r="BA155" s="176"/>
    </row>
    <row r="156" spans="1:53" ht="16" customHeight="1" thickBot="1" x14ac:dyDescent="0.25">
      <c r="A156" s="16"/>
      <c r="B156" s="16"/>
      <c r="C156" s="16"/>
      <c r="D156" s="16"/>
      <c r="E156" s="16"/>
      <c r="F156" s="16"/>
      <c r="G156" s="16"/>
      <c r="H156" s="16"/>
      <c r="I156" s="16"/>
      <c r="J156" s="16"/>
      <c r="K156" s="16"/>
      <c r="L156" s="16"/>
      <c r="M156" s="16"/>
      <c r="N156" s="16"/>
      <c r="O156" s="16"/>
      <c r="P156" s="16"/>
      <c r="Q156" s="16"/>
      <c r="R156" s="16"/>
      <c r="S156" s="16"/>
      <c r="T156" s="16"/>
      <c r="U156" s="16"/>
      <c r="V156" s="17"/>
      <c r="W156" s="131" t="str">
        <f>Idiomas!D39</f>
        <v>Bronze Boot (3rd Top Scorer)</v>
      </c>
      <c r="X156" s="109"/>
      <c r="Y156" s="109"/>
      <c r="Z156" s="113"/>
      <c r="AA156" s="222" t="str">
        <f>+Idiomas!D43</f>
        <v>Write a player</v>
      </c>
      <c r="AB156" s="402"/>
      <c r="AC156" s="402"/>
      <c r="AD156" s="402"/>
      <c r="AE156" s="402"/>
      <c r="AF156" s="403"/>
      <c r="AG156" s="327">
        <f>IF(AA156=$AH$154,0,IF(AA156="",0,1))</f>
        <v>0</v>
      </c>
      <c r="AH156" s="184"/>
      <c r="AI156" s="184"/>
      <c r="AJ156" s="657"/>
      <c r="AK156" s="658"/>
      <c r="AL156" s="658"/>
      <c r="AM156" s="658"/>
      <c r="AN156" s="658"/>
      <c r="AO156" s="658"/>
      <c r="AP156" s="658"/>
      <c r="AQ156" s="658"/>
      <c r="AR156" s="658"/>
      <c r="AS156" s="658"/>
      <c r="AT156" s="658"/>
      <c r="AU156" s="659"/>
      <c r="AV156" s="193"/>
      <c r="AW156" s="155"/>
      <c r="AX156" s="154"/>
      <c r="AY156" s="156"/>
      <c r="AZ156" s="157"/>
      <c r="BA156" s="176"/>
    </row>
    <row r="157" spans="1:53" ht="16" customHeight="1" thickBot="1" x14ac:dyDescent="0.25">
      <c r="A157" s="16"/>
      <c r="B157" s="16"/>
      <c r="C157" s="16"/>
      <c r="D157" s="16"/>
      <c r="E157" s="16"/>
      <c r="F157" s="16"/>
      <c r="G157" s="16"/>
      <c r="H157" s="16"/>
      <c r="I157" s="16"/>
      <c r="J157" s="16"/>
      <c r="K157" s="16"/>
      <c r="L157" s="16"/>
      <c r="M157" s="16"/>
      <c r="N157" s="16"/>
      <c r="O157" s="16"/>
      <c r="P157" s="16"/>
      <c r="Q157" s="16"/>
      <c r="R157" s="16"/>
      <c r="S157" s="16"/>
      <c r="T157" s="16"/>
      <c r="U157" s="16"/>
      <c r="V157" s="17"/>
      <c r="W157" s="154"/>
      <c r="X157" s="155"/>
      <c r="Y157" s="154"/>
      <c r="Z157" s="156"/>
      <c r="AA157" s="157"/>
      <c r="AB157" s="158"/>
      <c r="AC157" s="151"/>
      <c r="AD157" s="151"/>
      <c r="AE157" s="158"/>
      <c r="AF157" s="159"/>
      <c r="AG157" s="325"/>
      <c r="AH157" s="184"/>
      <c r="AI157" s="184"/>
      <c r="AJ157" s="660"/>
      <c r="AK157" s="661"/>
      <c r="AL157" s="661"/>
      <c r="AM157" s="661"/>
      <c r="AN157" s="661"/>
      <c r="AO157" s="661"/>
      <c r="AP157" s="661"/>
      <c r="AQ157" s="661"/>
      <c r="AR157" s="661"/>
      <c r="AS157" s="661"/>
      <c r="AT157" s="661"/>
      <c r="AU157" s="662"/>
      <c r="AV157" s="193"/>
      <c r="AW157" s="155"/>
      <c r="AX157" s="154"/>
      <c r="AY157" s="156"/>
      <c r="AZ157" s="157"/>
      <c r="BA157" s="176"/>
    </row>
    <row r="158" spans="1:53" ht="16" customHeight="1"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7"/>
      <c r="W158" s="134" t="str">
        <f>Idiomas!D40</f>
        <v>Golden Ball (Best Player)</v>
      </c>
      <c r="X158" s="135"/>
      <c r="Y158" s="135"/>
      <c r="Z158" s="136"/>
      <c r="AA158" s="220" t="str">
        <f>+Idiomas!D43</f>
        <v>Write a player</v>
      </c>
      <c r="AB158" s="398"/>
      <c r="AC158" s="398"/>
      <c r="AD158" s="398"/>
      <c r="AE158" s="398"/>
      <c r="AF158" s="399"/>
      <c r="AG158" s="327">
        <f>IF(AA158=$AH$154,0,IF(AA158="",0,1))</f>
        <v>0</v>
      </c>
      <c r="AH158" s="199"/>
      <c r="AI158" s="184"/>
      <c r="AJ158" s="145"/>
      <c r="AK158" s="145"/>
      <c r="AL158" s="145"/>
      <c r="AM158" s="145"/>
      <c r="AN158" s="145"/>
      <c r="AO158" s="145"/>
      <c r="AP158" s="145"/>
      <c r="AQ158" s="145"/>
      <c r="AR158" s="145"/>
      <c r="AS158" s="145"/>
      <c r="AT158" s="145"/>
      <c r="AU158" s="332"/>
      <c r="AV158" s="193"/>
      <c r="AW158" s="155"/>
      <c r="AX158" s="154"/>
      <c r="AY158" s="156"/>
      <c r="AZ158" s="157"/>
      <c r="BA158" s="176"/>
    </row>
    <row r="159" spans="1:53" ht="16" customHeight="1"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7"/>
      <c r="W159" s="130" t="str">
        <f>Idiomas!D41</f>
        <v>Silver Ball (2nd Best Player)</v>
      </c>
      <c r="X159" s="114"/>
      <c r="Y159" s="114"/>
      <c r="Z159" s="112"/>
      <c r="AA159" s="221" t="str">
        <f>+Idiomas!D43</f>
        <v>Write a player</v>
      </c>
      <c r="AB159" s="400"/>
      <c r="AC159" s="400"/>
      <c r="AD159" s="400"/>
      <c r="AE159" s="400"/>
      <c r="AF159" s="401"/>
      <c r="AG159" s="327">
        <f>IF(AA159=$AH$154,0,IF(AA159="",0,1))</f>
        <v>0</v>
      </c>
      <c r="AH159" s="184"/>
      <c r="AI159" s="185"/>
      <c r="AJ159" s="145"/>
      <c r="AK159" s="145"/>
      <c r="AL159" s="145"/>
      <c r="AM159" s="145"/>
      <c r="AN159" s="145"/>
      <c r="AO159" s="145"/>
      <c r="AP159" s="145"/>
      <c r="AQ159" s="145"/>
      <c r="AR159" s="145"/>
      <c r="AS159" s="145"/>
      <c r="AT159" s="145"/>
      <c r="AU159" s="332"/>
      <c r="AV159" s="193"/>
      <c r="AW159" s="155"/>
      <c r="AX159" s="154"/>
      <c r="AY159" s="156"/>
      <c r="AZ159" s="157"/>
      <c r="BA159" s="176"/>
    </row>
    <row r="160" spans="1:53" ht="16" customHeight="1" thickBot="1" x14ac:dyDescent="0.25">
      <c r="A160" s="16"/>
      <c r="B160" s="16"/>
      <c r="C160" s="16"/>
      <c r="D160" s="16"/>
      <c r="E160" s="16"/>
      <c r="F160" s="16"/>
      <c r="G160" s="16"/>
      <c r="H160" s="16"/>
      <c r="I160" s="16"/>
      <c r="J160" s="16"/>
      <c r="K160" s="16"/>
      <c r="L160" s="16"/>
      <c r="M160" s="16"/>
      <c r="N160" s="16"/>
      <c r="O160" s="16"/>
      <c r="P160" s="16"/>
      <c r="Q160" s="16"/>
      <c r="R160" s="16"/>
      <c r="S160" s="16"/>
      <c r="T160" s="16"/>
      <c r="U160" s="16"/>
      <c r="V160" s="17"/>
      <c r="W160" s="131" t="str">
        <f>Idiomas!D42</f>
        <v>Bronze ball (3rd Best Player)</v>
      </c>
      <c r="X160" s="109"/>
      <c r="Y160" s="109"/>
      <c r="Z160" s="113"/>
      <c r="AA160" s="222" t="str">
        <f>+Idiomas!D43</f>
        <v>Write a player</v>
      </c>
      <c r="AB160" s="402"/>
      <c r="AC160" s="402"/>
      <c r="AD160" s="402"/>
      <c r="AE160" s="402"/>
      <c r="AF160" s="403"/>
      <c r="AG160" s="327">
        <f>IF(AA160=$AH$154,0,IF(AA160="",0,1))</f>
        <v>0</v>
      </c>
      <c r="AH160" s="184"/>
      <c r="AI160" s="184"/>
      <c r="AJ160" s="145"/>
      <c r="AK160" s="145"/>
      <c r="AL160" s="145"/>
      <c r="AM160" s="145"/>
      <c r="AN160" s="145"/>
      <c r="AO160" s="145"/>
      <c r="AP160" s="145"/>
      <c r="AQ160" s="145"/>
      <c r="AR160" s="145"/>
      <c r="AS160" s="145"/>
      <c r="AT160" s="145"/>
      <c r="AU160" s="332"/>
      <c r="AV160" s="193"/>
      <c r="AW160" s="155"/>
      <c r="AX160" s="154"/>
      <c r="AY160" s="156"/>
      <c r="AZ160" s="157"/>
      <c r="BA160" s="176"/>
    </row>
    <row r="161" spans="1:53" ht="20" customHeight="1" thickBot="1" x14ac:dyDescent="0.25">
      <c r="A161" s="16"/>
      <c r="B161" s="16"/>
      <c r="C161" s="16"/>
      <c r="D161" s="16"/>
      <c r="E161" s="16"/>
      <c r="F161" s="16"/>
      <c r="G161" s="16"/>
      <c r="H161" s="16"/>
      <c r="I161" s="16"/>
      <c r="J161" s="16"/>
      <c r="K161" s="16"/>
      <c r="L161" s="16"/>
      <c r="M161" s="16"/>
      <c r="N161" s="16"/>
      <c r="O161" s="16"/>
      <c r="P161" s="16"/>
      <c r="Q161" s="16"/>
      <c r="R161" s="16"/>
      <c r="S161" s="16"/>
      <c r="T161" s="16"/>
      <c r="U161" s="16"/>
      <c r="V161" s="17"/>
      <c r="W161" s="154"/>
      <c r="X161" s="154"/>
      <c r="Y161" s="155"/>
      <c r="Z161" s="154"/>
      <c r="AA161" s="156"/>
      <c r="AB161" s="157"/>
      <c r="AC161" s="158"/>
      <c r="AD161" s="151"/>
      <c r="AE161" s="151"/>
      <c r="AF161" s="158"/>
      <c r="AG161" s="145"/>
      <c r="AH161" s="184"/>
      <c r="AI161" s="184"/>
      <c r="AJ161" s="145"/>
      <c r="AK161" s="145"/>
      <c r="AL161" s="145"/>
      <c r="AM161" s="145"/>
      <c r="AN161" s="145"/>
      <c r="AO161" s="145"/>
      <c r="AP161" s="145"/>
      <c r="AQ161" s="145"/>
      <c r="AR161" s="145"/>
      <c r="AS161" s="145"/>
      <c r="AT161" s="145"/>
      <c r="AU161" s="332"/>
      <c r="AV161" s="193"/>
      <c r="AW161" s="155"/>
      <c r="AX161" s="154"/>
      <c r="AY161" s="156"/>
      <c r="AZ161" s="157"/>
      <c r="BA161" s="176"/>
    </row>
    <row r="162" spans="1:53" ht="28" customHeight="1" thickBot="1" x14ac:dyDescent="0.25">
      <c r="A162" s="16"/>
      <c r="B162" s="16"/>
      <c r="C162" s="16"/>
      <c r="D162" s="16"/>
      <c r="E162" s="16"/>
      <c r="F162" s="16"/>
      <c r="G162" s="16"/>
      <c r="H162" s="16"/>
      <c r="I162" s="16"/>
      <c r="J162" s="16"/>
      <c r="K162" s="16"/>
      <c r="L162" s="16"/>
      <c r="M162" s="16"/>
      <c r="N162" s="16"/>
      <c r="O162" s="16"/>
      <c r="P162" s="16"/>
      <c r="Q162" s="16"/>
      <c r="R162" s="16"/>
      <c r="S162" s="16"/>
      <c r="T162" s="16"/>
      <c r="U162" s="16"/>
      <c r="V162" s="17"/>
      <c r="W162" s="154"/>
      <c r="X162" s="154"/>
      <c r="Y162" s="155"/>
      <c r="Z162" s="154"/>
      <c r="AA162" s="294" t="str">
        <f>HYPERLINK(Idiomas!D10,Idiomas!D9)</f>
        <v>▼ Download Administrator Excel File ▼</v>
      </c>
      <c r="AB162" s="157"/>
      <c r="AC162" s="158"/>
      <c r="AD162" s="151"/>
      <c r="AE162" s="151"/>
      <c r="AF162" s="405" t="s">
        <v>1312</v>
      </c>
      <c r="AG162" s="152"/>
      <c r="AH162" s="184"/>
      <c r="AI162" s="184"/>
      <c r="AJ162" s="145"/>
      <c r="AK162" s="145"/>
      <c r="AL162" s="225" t="s">
        <v>1331</v>
      </c>
      <c r="AM162" s="223"/>
      <c r="AN162" s="224"/>
      <c r="AO162" s="655" t="str">
        <f>+Idiomas!D12</f>
        <v>Donate</v>
      </c>
      <c r="AP162" s="656"/>
      <c r="AQ162" s="145"/>
      <c r="AR162" s="145"/>
      <c r="AS162" s="145"/>
      <c r="AT162" s="145"/>
      <c r="AU162" s="332"/>
      <c r="AV162" s="193"/>
      <c r="AW162" s="155"/>
      <c r="AX162" s="154"/>
      <c r="AY162" s="156"/>
      <c r="AZ162" s="157"/>
      <c r="BA162" s="176"/>
    </row>
    <row r="163" spans="1:53" ht="28" customHeight="1"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7"/>
      <c r="W163" s="154"/>
      <c r="X163" s="154"/>
      <c r="Y163" s="155"/>
      <c r="Z163" s="154"/>
      <c r="AA163" s="156"/>
      <c r="AB163" s="157"/>
      <c r="AC163" s="158"/>
      <c r="AD163" s="151"/>
      <c r="AE163" s="151"/>
      <c r="AF163" s="158"/>
      <c r="AG163" s="152"/>
      <c r="AH163" s="200"/>
      <c r="AI163" s="184"/>
      <c r="AJ163" s="145"/>
      <c r="AK163" s="145"/>
      <c r="AL163" s="145"/>
      <c r="AM163" s="145"/>
      <c r="AN163" s="145"/>
      <c r="AO163" s="145"/>
      <c r="AP163" s="145"/>
      <c r="AQ163" s="145"/>
      <c r="AR163" s="145"/>
      <c r="AS163" s="145"/>
      <c r="AT163" s="145"/>
      <c r="AU163" s="332"/>
      <c r="AV163" s="193"/>
      <c r="AW163" s="155"/>
      <c r="AX163" s="154"/>
      <c r="AY163" s="156"/>
      <c r="AZ163" s="157"/>
      <c r="BA163" s="176"/>
    </row>
    <row r="164" spans="1:53" ht="16" customHeight="1"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7"/>
      <c r="W164" s="320"/>
      <c r="X164" s="154"/>
      <c r="Y164" s="155"/>
      <c r="Z164" s="154"/>
      <c r="AA164" s="154"/>
      <c r="AB164" s="157"/>
      <c r="AC164" s="158"/>
      <c r="AD164" s="151"/>
      <c r="AE164" s="151"/>
      <c r="AF164" s="158"/>
      <c r="AG164" s="145"/>
      <c r="AH164" s="184"/>
      <c r="AI164" s="184"/>
      <c r="AJ164" s="145"/>
      <c r="AK164" s="145"/>
      <c r="AL164" s="145"/>
      <c r="AM164" s="145"/>
      <c r="AN164" s="145"/>
      <c r="AO164" s="145"/>
      <c r="AP164" s="145"/>
      <c r="AQ164" s="145"/>
      <c r="AR164" s="145"/>
      <c r="AS164" s="145"/>
      <c r="AT164" s="145"/>
      <c r="AU164" s="332"/>
      <c r="AV164" s="193"/>
      <c r="AW164" s="155"/>
      <c r="AX164" s="154"/>
      <c r="AY164" s="156"/>
      <c r="AZ164" s="157"/>
      <c r="BA164" s="176"/>
    </row>
    <row r="165" spans="1:53" ht="16" customHeight="1"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7"/>
      <c r="W165" s="154"/>
      <c r="X165" s="154"/>
      <c r="Y165" s="155"/>
      <c r="Z165" s="154"/>
      <c r="AA165" s="156"/>
      <c r="AB165" s="157"/>
      <c r="AC165" s="158"/>
      <c r="AD165" s="151"/>
      <c r="AE165" s="151"/>
      <c r="AF165" s="158"/>
      <c r="AG165" s="153"/>
      <c r="AH165" s="181"/>
      <c r="AI165" s="181"/>
      <c r="AJ165" s="153"/>
      <c r="AK165" s="153"/>
      <c r="AL165" s="153"/>
      <c r="AM165" s="153"/>
      <c r="AN165" s="153"/>
      <c r="AO165" s="153"/>
      <c r="AP165" s="153"/>
      <c r="AQ165" s="153"/>
      <c r="AR165" s="153"/>
      <c r="AS165" s="153"/>
      <c r="AT165" s="153"/>
      <c r="AU165" s="334"/>
      <c r="AV165" s="193"/>
      <c r="AW165" s="155"/>
      <c r="AX165" s="154"/>
      <c r="AY165" s="156"/>
      <c r="AZ165" s="157"/>
      <c r="BA165" s="176"/>
    </row>
    <row r="166" spans="1:53"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7"/>
      <c r="W166" s="154"/>
      <c r="X166" s="154"/>
      <c r="Y166" s="155"/>
      <c r="Z166" s="154"/>
      <c r="AA166" s="156"/>
      <c r="AB166" s="157"/>
      <c r="AC166" s="158"/>
      <c r="AD166" s="151"/>
      <c r="AE166" s="151"/>
      <c r="AF166" s="158"/>
      <c r="AG166" s="153"/>
      <c r="AH166" s="181"/>
      <c r="AI166" s="181"/>
      <c r="AJ166" s="153"/>
      <c r="AK166" s="153"/>
      <c r="AL166" s="153"/>
      <c r="AM166" s="153"/>
      <c r="AN166" s="153"/>
      <c r="AO166" s="153"/>
      <c r="AP166" s="153"/>
      <c r="AQ166" s="153"/>
      <c r="AR166" s="153"/>
      <c r="AS166" s="153"/>
      <c r="AT166" s="153"/>
      <c r="AU166" s="334"/>
      <c r="AV166" s="193"/>
      <c r="AW166" s="155"/>
      <c r="AX166" s="154"/>
      <c r="AY166" s="156"/>
      <c r="AZ166" s="157"/>
      <c r="BA166" s="176"/>
    </row>
    <row r="167" spans="1:53"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7"/>
      <c r="W167" s="154"/>
      <c r="X167" s="154"/>
      <c r="Y167" s="155"/>
      <c r="Z167" s="154"/>
      <c r="AA167" s="156"/>
      <c r="AB167" s="157"/>
      <c r="AC167" s="158"/>
      <c r="AD167" s="151"/>
      <c r="AE167" s="151"/>
      <c r="AF167" s="158"/>
      <c r="AG167" s="153"/>
      <c r="AH167" s="181"/>
      <c r="AI167" s="181"/>
      <c r="AJ167" s="153"/>
      <c r="AK167" s="153"/>
      <c r="AL167" s="153"/>
      <c r="AM167" s="153"/>
      <c r="AN167" s="153"/>
      <c r="AO167" s="153"/>
      <c r="AP167" s="153"/>
      <c r="AQ167" s="153"/>
      <c r="AR167" s="153"/>
      <c r="AS167" s="153"/>
      <c r="AT167" s="153"/>
      <c r="AU167" s="334"/>
      <c r="AV167" s="193"/>
      <c r="AW167" s="155"/>
      <c r="AX167" s="154"/>
      <c r="AY167" s="156"/>
      <c r="AZ167" s="157"/>
      <c r="BA167" s="176"/>
    </row>
    <row r="168" spans="1:53"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7"/>
      <c r="W168" s="154"/>
      <c r="X168" s="154"/>
      <c r="Y168" s="155"/>
      <c r="Z168" s="154"/>
      <c r="AA168" s="156"/>
      <c r="AB168" s="157"/>
      <c r="AC168" s="158"/>
      <c r="AD168" s="151"/>
      <c r="AE168" s="151"/>
      <c r="AF168" s="158"/>
      <c r="AG168" s="153"/>
      <c r="AH168" s="181"/>
      <c r="AI168" s="181"/>
      <c r="AJ168" s="153"/>
      <c r="AK168" s="153"/>
      <c r="AL168" s="153"/>
      <c r="AM168" s="153"/>
      <c r="AN168" s="153"/>
      <c r="AO168" s="153"/>
      <c r="AP168" s="153"/>
      <c r="AQ168" s="153"/>
      <c r="AR168" s="153"/>
      <c r="AS168" s="153"/>
      <c r="AT168" s="153"/>
      <c r="AU168" s="334"/>
      <c r="AV168" s="193"/>
      <c r="AW168" s="155"/>
      <c r="AX168" s="154"/>
      <c r="AY168" s="156"/>
      <c r="AZ168" s="157"/>
      <c r="BA168" s="176"/>
    </row>
    <row r="169" spans="1:53" x14ac:dyDescent="0.2">
      <c r="V169" s="3"/>
      <c r="W169" s="3"/>
      <c r="X169" s="3"/>
      <c r="Y169" s="3"/>
      <c r="Z169" s="3"/>
      <c r="AA169" s="3"/>
      <c r="AB169" s="3"/>
      <c r="AC169" s="3"/>
      <c r="AD169" s="3"/>
      <c r="AE169" s="3"/>
      <c r="AF169" s="3"/>
      <c r="AG169" s="3"/>
      <c r="AH169" s="186"/>
      <c r="AI169" s="186"/>
      <c r="AJ169" s="3"/>
      <c r="AK169" s="3"/>
      <c r="AL169" s="3"/>
      <c r="AM169" s="3"/>
      <c r="AN169" s="3"/>
      <c r="AO169" s="3"/>
      <c r="AP169" s="3"/>
      <c r="AQ169" s="3"/>
      <c r="AR169" s="3"/>
      <c r="AS169" s="3"/>
      <c r="AT169" s="3"/>
      <c r="AU169" s="194"/>
      <c r="AV169" s="186"/>
      <c r="AW169" s="3"/>
      <c r="AX169" s="3"/>
      <c r="AY169" s="6"/>
      <c r="AZ169" s="3"/>
    </row>
    <row r="170" spans="1:53" x14ac:dyDescent="0.2">
      <c r="V170" s="3"/>
      <c r="W170" s="3"/>
      <c r="X170" s="3"/>
      <c r="Y170" s="3"/>
      <c r="Z170" s="3"/>
      <c r="AA170" s="3"/>
      <c r="AB170" s="3"/>
      <c r="AC170" s="3"/>
      <c r="AD170" s="3"/>
      <c r="AE170" s="3"/>
      <c r="AF170" s="3"/>
      <c r="AG170" s="3"/>
      <c r="AH170" s="186"/>
      <c r="AI170" s="186"/>
      <c r="AJ170" s="3"/>
      <c r="AK170" s="3"/>
      <c r="AL170" s="3"/>
      <c r="AM170" s="3"/>
      <c r="AN170" s="3"/>
      <c r="AO170" s="3"/>
      <c r="AP170" s="3"/>
      <c r="AQ170" s="3"/>
      <c r="AR170" s="3"/>
      <c r="AS170" s="3"/>
      <c r="AT170" s="3"/>
      <c r="AU170" s="194"/>
      <c r="AV170" s="186"/>
      <c r="AW170" s="3"/>
      <c r="AX170" s="3"/>
      <c r="AY170" s="6"/>
      <c r="AZ170" s="3"/>
    </row>
    <row r="171" spans="1:53" x14ac:dyDescent="0.2">
      <c r="V171" s="3"/>
      <c r="W171" s="3"/>
      <c r="X171" s="3"/>
      <c r="Y171" s="3"/>
      <c r="Z171" s="3"/>
      <c r="AA171" s="3"/>
      <c r="AB171" s="3"/>
      <c r="AC171" s="3"/>
      <c r="AD171" s="3"/>
      <c r="AE171" s="3"/>
      <c r="AF171" s="3"/>
      <c r="AG171" s="3"/>
      <c r="AH171" s="186"/>
      <c r="AI171" s="186"/>
      <c r="AJ171" s="3"/>
      <c r="AK171" s="3"/>
      <c r="AL171" s="3"/>
      <c r="AM171" s="3"/>
      <c r="AN171" s="3"/>
      <c r="AO171" s="3"/>
      <c r="AP171" s="3"/>
      <c r="AQ171" s="3"/>
      <c r="AR171" s="3"/>
      <c r="AS171" s="3"/>
      <c r="AT171" s="3"/>
      <c r="AU171" s="194"/>
      <c r="AV171" s="186"/>
      <c r="AW171" s="3"/>
      <c r="AX171" s="3"/>
      <c r="AY171" s="6"/>
      <c r="AZ171" s="3"/>
    </row>
    <row r="172" spans="1:53" x14ac:dyDescent="0.2">
      <c r="V172" s="3"/>
      <c r="W172" s="3"/>
      <c r="X172" s="3"/>
      <c r="Y172" s="3"/>
      <c r="Z172" s="3"/>
      <c r="AA172" s="3"/>
      <c r="AB172" s="3"/>
      <c r="AC172" s="3"/>
      <c r="AD172" s="3"/>
      <c r="AE172" s="3"/>
      <c r="AF172" s="3"/>
      <c r="AG172" s="3"/>
      <c r="AH172" s="186"/>
      <c r="AI172" s="186"/>
      <c r="AJ172" s="3"/>
      <c r="AK172" s="3"/>
      <c r="AL172" s="3"/>
      <c r="AM172" s="3"/>
      <c r="AN172" s="3"/>
      <c r="AO172" s="3"/>
      <c r="AP172" s="3"/>
      <c r="AQ172" s="3"/>
      <c r="AR172" s="3"/>
      <c r="AS172" s="3"/>
      <c r="AT172" s="3"/>
      <c r="AU172" s="194"/>
      <c r="AV172" s="186"/>
      <c r="AW172" s="3"/>
      <c r="AX172" s="3"/>
      <c r="AY172" s="6"/>
      <c r="AZ172" s="3"/>
    </row>
    <row r="173" spans="1:53" x14ac:dyDescent="0.2">
      <c r="V173" s="3"/>
      <c r="W173" s="3"/>
      <c r="X173" s="3"/>
      <c r="Y173" s="3"/>
      <c r="Z173" s="3"/>
      <c r="AA173" s="3"/>
      <c r="AB173" s="3"/>
      <c r="AC173" s="3"/>
      <c r="AD173" s="3"/>
      <c r="AE173" s="3"/>
      <c r="AF173" s="3"/>
      <c r="AG173" s="3"/>
      <c r="AH173" s="186"/>
      <c r="AI173" s="186"/>
      <c r="AJ173" s="3"/>
      <c r="AK173" s="3"/>
      <c r="AL173" s="3"/>
      <c r="AM173" s="3"/>
      <c r="AN173" s="3"/>
      <c r="AO173" s="3"/>
      <c r="AP173" s="3"/>
      <c r="AQ173" s="3"/>
      <c r="AR173" s="3"/>
      <c r="AS173" s="3"/>
      <c r="AT173" s="3"/>
      <c r="AU173" s="194"/>
      <c r="AV173" s="186"/>
      <c r="AW173" s="3"/>
      <c r="AX173" s="3"/>
      <c r="AY173" s="6"/>
      <c r="AZ173" s="3"/>
    </row>
    <row r="174" spans="1:53" x14ac:dyDescent="0.2">
      <c r="V174" s="3"/>
      <c r="W174" s="3"/>
      <c r="X174" s="3"/>
      <c r="Y174" s="3"/>
      <c r="Z174" s="3"/>
      <c r="AA174" s="3"/>
      <c r="AB174" s="3"/>
      <c r="AC174" s="3"/>
      <c r="AD174" s="3"/>
      <c r="AE174" s="3"/>
      <c r="AF174" s="3"/>
      <c r="AG174" s="3"/>
      <c r="AH174" s="186"/>
      <c r="AI174" s="186"/>
      <c r="AJ174" s="3"/>
      <c r="AK174" s="3"/>
      <c r="AL174" s="3"/>
      <c r="AM174" s="3"/>
      <c r="AN174" s="3"/>
      <c r="AO174" s="3"/>
      <c r="AP174" s="3"/>
      <c r="AQ174" s="3"/>
      <c r="AR174" s="3"/>
      <c r="AS174" s="3"/>
      <c r="AT174" s="3"/>
      <c r="AU174" s="194"/>
      <c r="AV174" s="186"/>
      <c r="AW174" s="3"/>
      <c r="AX174" s="3"/>
      <c r="AY174" s="6"/>
      <c r="AZ174" s="3"/>
    </row>
    <row r="175" spans="1:53" x14ac:dyDescent="0.2">
      <c r="V175" s="3"/>
      <c r="W175" s="3"/>
      <c r="X175" s="3"/>
      <c r="Y175" s="3"/>
      <c r="Z175" s="3"/>
      <c r="AA175" s="3"/>
      <c r="AB175" s="3"/>
      <c r="AC175" s="3"/>
      <c r="AD175" s="3"/>
      <c r="AE175" s="3"/>
      <c r="AF175" s="3"/>
      <c r="AG175" s="3"/>
      <c r="AH175" s="186"/>
      <c r="AI175" s="186"/>
      <c r="AJ175" s="3"/>
      <c r="AK175" s="3"/>
      <c r="AL175" s="3"/>
      <c r="AM175" s="3"/>
      <c r="AN175" s="3"/>
      <c r="AO175" s="3"/>
      <c r="AP175" s="3"/>
      <c r="AQ175" s="3"/>
      <c r="AR175" s="3"/>
      <c r="AS175" s="3"/>
      <c r="AT175" s="3"/>
      <c r="AU175" s="194"/>
      <c r="AV175" s="186"/>
      <c r="AW175" s="3"/>
      <c r="AX175" s="3"/>
      <c r="AY175" s="6"/>
      <c r="AZ175" s="3"/>
    </row>
    <row r="176" spans="1:53" x14ac:dyDescent="0.2">
      <c r="V176" s="3"/>
      <c r="W176" s="3"/>
      <c r="X176" s="3"/>
      <c r="Y176" s="3"/>
      <c r="Z176" s="3"/>
      <c r="AA176" s="3"/>
      <c r="AB176" s="3"/>
      <c r="AC176" s="3"/>
      <c r="AD176" s="3"/>
      <c r="AE176" s="3"/>
      <c r="AF176" s="3"/>
      <c r="AG176" s="3"/>
      <c r="AH176" s="186"/>
      <c r="AI176" s="186"/>
      <c r="AJ176" s="3"/>
      <c r="AK176" s="3"/>
      <c r="AL176" s="3"/>
      <c r="AM176" s="3"/>
      <c r="AN176" s="3"/>
      <c r="AO176" s="3"/>
      <c r="AP176" s="3"/>
      <c r="AQ176" s="3"/>
      <c r="AR176" s="3"/>
      <c r="AS176" s="3"/>
      <c r="AT176" s="3"/>
      <c r="AU176" s="194"/>
      <c r="AV176" s="186"/>
      <c r="AW176" s="3"/>
      <c r="AX176" s="3"/>
      <c r="AY176" s="6"/>
      <c r="AZ176" s="3"/>
    </row>
    <row r="177" spans="22:52" x14ac:dyDescent="0.2">
      <c r="V177" s="3"/>
      <c r="W177" s="3"/>
      <c r="X177" s="3"/>
      <c r="Y177" s="3"/>
      <c r="Z177" s="3"/>
      <c r="AA177" s="3"/>
      <c r="AB177" s="3"/>
      <c r="AC177" s="3"/>
      <c r="AD177" s="3"/>
      <c r="AE177" s="3"/>
      <c r="AF177" s="3"/>
      <c r="AG177" s="3"/>
      <c r="AH177" s="186"/>
      <c r="AI177" s="186"/>
      <c r="AJ177" s="3"/>
      <c r="AK177" s="3"/>
      <c r="AL177" s="3"/>
      <c r="AM177" s="3"/>
      <c r="AN177" s="3"/>
      <c r="AO177" s="3"/>
      <c r="AP177" s="3"/>
      <c r="AQ177" s="3"/>
      <c r="AR177" s="3"/>
      <c r="AS177" s="3"/>
      <c r="AT177" s="3"/>
      <c r="AU177" s="194"/>
      <c r="AV177" s="186"/>
      <c r="AW177" s="3"/>
      <c r="AX177" s="3"/>
      <c r="AY177" s="6"/>
      <c r="AZ177" s="3"/>
    </row>
    <row r="178" spans="22:52" x14ac:dyDescent="0.2">
      <c r="V178" s="3"/>
      <c r="W178" s="3"/>
      <c r="X178" s="3"/>
      <c r="Y178" s="3"/>
      <c r="Z178" s="3"/>
      <c r="AA178" s="3"/>
      <c r="AB178" s="3"/>
      <c r="AC178" s="3"/>
      <c r="AD178" s="3"/>
      <c r="AE178" s="3"/>
      <c r="AF178" s="3"/>
      <c r="AG178" s="3"/>
      <c r="AH178" s="186"/>
      <c r="AI178" s="186"/>
      <c r="AJ178" s="3"/>
      <c r="AK178" s="3"/>
      <c r="AL178" s="3"/>
      <c r="AM178" s="3"/>
      <c r="AN178" s="3"/>
      <c r="AO178" s="3"/>
      <c r="AP178" s="3"/>
      <c r="AQ178" s="3"/>
      <c r="AR178" s="3"/>
      <c r="AS178" s="3"/>
      <c r="AT178" s="3"/>
      <c r="AU178" s="194"/>
      <c r="AV178" s="186"/>
      <c r="AW178" s="3"/>
      <c r="AX178" s="3"/>
      <c r="AY178" s="6"/>
      <c r="AZ178" s="3"/>
    </row>
    <row r="179" spans="22:52" x14ac:dyDescent="0.2">
      <c r="V179" s="3"/>
      <c r="W179" s="3"/>
      <c r="X179" s="3"/>
      <c r="Y179" s="3"/>
      <c r="Z179" s="3"/>
      <c r="AA179" s="3"/>
      <c r="AB179" s="3"/>
      <c r="AC179" s="3"/>
      <c r="AD179" s="3"/>
      <c r="AE179" s="3"/>
      <c r="AF179" s="3"/>
      <c r="AG179" s="3"/>
      <c r="AH179" s="186"/>
      <c r="AI179" s="186"/>
      <c r="AJ179" s="3"/>
      <c r="AK179" s="3"/>
      <c r="AL179" s="3"/>
      <c r="AM179" s="3"/>
      <c r="AN179" s="3"/>
      <c r="AO179" s="3"/>
      <c r="AP179" s="3"/>
      <c r="AQ179" s="3"/>
      <c r="AR179" s="3"/>
      <c r="AS179" s="3"/>
      <c r="AT179" s="3"/>
      <c r="AU179" s="194"/>
      <c r="AV179" s="186"/>
      <c r="AW179" s="3"/>
      <c r="AX179" s="3"/>
      <c r="AY179" s="6"/>
      <c r="AZ179" s="3"/>
    </row>
    <row r="180" spans="22:52" x14ac:dyDescent="0.2">
      <c r="V180" s="3"/>
      <c r="W180" s="3"/>
      <c r="X180" s="3"/>
      <c r="Y180" s="3"/>
      <c r="Z180" s="3"/>
      <c r="AA180" s="3"/>
      <c r="AB180" s="3"/>
      <c r="AC180" s="3"/>
      <c r="AD180" s="3"/>
      <c r="AE180" s="3"/>
      <c r="AF180" s="3"/>
      <c r="AG180" s="3"/>
      <c r="AH180" s="186"/>
      <c r="AI180" s="186"/>
      <c r="AJ180" s="3"/>
      <c r="AK180" s="3"/>
      <c r="AL180" s="3"/>
      <c r="AM180" s="3"/>
      <c r="AN180" s="3"/>
      <c r="AO180" s="3"/>
      <c r="AP180" s="3"/>
      <c r="AQ180" s="3"/>
      <c r="AR180" s="3"/>
      <c r="AS180" s="3"/>
      <c r="AT180" s="3"/>
      <c r="AU180" s="194"/>
      <c r="AV180" s="186"/>
      <c r="AW180" s="3"/>
      <c r="AX180" s="3"/>
      <c r="AY180" s="6"/>
      <c r="AZ180" s="3"/>
    </row>
    <row r="181" spans="22:52" x14ac:dyDescent="0.2">
      <c r="V181" s="3"/>
      <c r="W181" s="3"/>
      <c r="X181" s="3"/>
      <c r="Y181" s="3"/>
      <c r="Z181" s="3"/>
      <c r="AA181" s="3"/>
      <c r="AB181" s="3"/>
      <c r="AC181" s="3"/>
      <c r="AD181" s="3"/>
      <c r="AE181" s="3"/>
      <c r="AF181" s="3"/>
      <c r="AG181" s="3"/>
      <c r="AH181" s="186"/>
      <c r="AI181" s="186"/>
      <c r="AJ181" s="3"/>
      <c r="AK181" s="3"/>
      <c r="AL181" s="3"/>
      <c r="AM181" s="3"/>
      <c r="AN181" s="3"/>
      <c r="AO181" s="3"/>
      <c r="AP181" s="3"/>
      <c r="AQ181" s="3"/>
      <c r="AR181" s="3"/>
      <c r="AS181" s="3"/>
      <c r="AT181" s="3"/>
      <c r="AU181" s="194"/>
      <c r="AV181" s="186"/>
      <c r="AW181" s="3"/>
      <c r="AX181" s="3"/>
      <c r="AY181" s="6"/>
      <c r="AZ181" s="3"/>
    </row>
    <row r="182" spans="22:52" x14ac:dyDescent="0.2">
      <c r="V182" s="3"/>
      <c r="W182" s="3"/>
      <c r="X182" s="3"/>
      <c r="Y182" s="3"/>
      <c r="Z182" s="3"/>
      <c r="AA182" s="3"/>
      <c r="AB182" s="3"/>
      <c r="AC182" s="3"/>
      <c r="AD182" s="3"/>
      <c r="AE182" s="3"/>
      <c r="AF182" s="3"/>
      <c r="AG182" s="3"/>
      <c r="AH182" s="186"/>
      <c r="AI182" s="186"/>
      <c r="AJ182" s="3"/>
      <c r="AK182" s="3"/>
      <c r="AL182" s="3"/>
      <c r="AM182" s="3"/>
      <c r="AN182" s="3"/>
      <c r="AO182" s="3"/>
      <c r="AP182" s="3"/>
      <c r="AQ182" s="3"/>
      <c r="AR182" s="3"/>
      <c r="AS182" s="3"/>
      <c r="AT182" s="3"/>
      <c r="AU182" s="194"/>
      <c r="AV182" s="186"/>
      <c r="AW182" s="3"/>
      <c r="AX182" s="3"/>
      <c r="AY182" s="6"/>
      <c r="AZ182" s="3"/>
    </row>
    <row r="183" spans="22:52" x14ac:dyDescent="0.2">
      <c r="V183" s="3"/>
      <c r="W183" s="3"/>
      <c r="X183" s="3"/>
      <c r="Y183" s="3"/>
      <c r="Z183" s="3"/>
      <c r="AA183" s="3"/>
      <c r="AB183" s="3"/>
      <c r="AC183" s="3"/>
      <c r="AD183" s="3"/>
      <c r="AE183" s="3"/>
      <c r="AF183" s="3"/>
      <c r="AG183" s="3"/>
      <c r="AH183" s="186"/>
      <c r="AI183" s="186"/>
      <c r="AJ183" s="3"/>
      <c r="AK183" s="3"/>
      <c r="AL183" s="3"/>
      <c r="AM183" s="3"/>
      <c r="AN183" s="3"/>
      <c r="AO183" s="3"/>
      <c r="AP183" s="3"/>
      <c r="AQ183" s="3"/>
      <c r="AR183" s="3"/>
      <c r="AS183" s="3"/>
      <c r="AT183" s="3"/>
      <c r="AU183" s="194"/>
      <c r="AV183" s="186"/>
      <c r="AW183" s="3"/>
      <c r="AX183" s="3"/>
      <c r="AY183" s="6"/>
      <c r="AZ183" s="3"/>
    </row>
    <row r="184" spans="22:52" x14ac:dyDescent="0.2">
      <c r="V184" s="3"/>
      <c r="W184" s="3"/>
      <c r="X184" s="3"/>
      <c r="Y184" s="3"/>
      <c r="Z184" s="3"/>
      <c r="AA184" s="3"/>
      <c r="AB184" s="3"/>
      <c r="AC184" s="3"/>
      <c r="AD184" s="3"/>
      <c r="AE184" s="3"/>
      <c r="AF184" s="3"/>
      <c r="AG184" s="3"/>
      <c r="AH184" s="186"/>
      <c r="AI184" s="186"/>
      <c r="AJ184" s="3"/>
      <c r="AK184" s="3"/>
      <c r="AL184" s="3"/>
      <c r="AM184" s="3"/>
      <c r="AN184" s="3"/>
      <c r="AO184" s="3"/>
      <c r="AP184" s="3"/>
      <c r="AQ184" s="3"/>
      <c r="AR184" s="3"/>
      <c r="AS184" s="3"/>
      <c r="AT184" s="3"/>
      <c r="AY184" s="14"/>
    </row>
    <row r="185" spans="22:52" x14ac:dyDescent="0.2">
      <c r="V185" s="3"/>
      <c r="W185" s="3"/>
      <c r="X185" s="3"/>
      <c r="Y185" s="3"/>
      <c r="Z185" s="3"/>
      <c r="AA185" s="3"/>
      <c r="AB185" s="3"/>
      <c r="AC185" s="3"/>
      <c r="AD185" s="3"/>
      <c r="AE185" s="3"/>
      <c r="AF185" s="3"/>
      <c r="AG185" s="3"/>
      <c r="AH185" s="186"/>
      <c r="AI185" s="186"/>
      <c r="AJ185" s="3"/>
      <c r="AK185" s="3"/>
      <c r="AL185" s="3"/>
      <c r="AM185" s="3"/>
      <c r="AN185" s="3"/>
      <c r="AO185" s="3"/>
      <c r="AP185" s="3"/>
      <c r="AQ185" s="3"/>
      <c r="AR185" s="3"/>
      <c r="AS185" s="3"/>
      <c r="AT185" s="3"/>
    </row>
    <row r="186" spans="22:52" x14ac:dyDescent="0.2">
      <c r="V186" s="3"/>
      <c r="W186" s="3"/>
      <c r="X186" s="3"/>
      <c r="Y186" s="3"/>
      <c r="Z186" s="3"/>
      <c r="AA186" s="3"/>
      <c r="AB186" s="3"/>
      <c r="AC186" s="3"/>
      <c r="AD186" s="3"/>
      <c r="AE186" s="3"/>
      <c r="AF186" s="3"/>
      <c r="AG186" s="3"/>
      <c r="AH186" s="186"/>
      <c r="AI186" s="186"/>
      <c r="AJ186" s="3"/>
      <c r="AK186" s="3"/>
      <c r="AL186" s="3"/>
      <c r="AM186" s="3"/>
      <c r="AN186" s="3"/>
      <c r="AO186" s="3"/>
      <c r="AP186" s="3"/>
      <c r="AQ186" s="3"/>
      <c r="AR186" s="3"/>
      <c r="AS186" s="3"/>
      <c r="AT186" s="3"/>
    </row>
    <row r="187" spans="22:52" x14ac:dyDescent="0.2">
      <c r="V187" s="3"/>
      <c r="W187" s="3"/>
      <c r="X187" s="3"/>
      <c r="Y187" s="3"/>
      <c r="Z187" s="3"/>
      <c r="AA187" s="3"/>
      <c r="AB187" s="3"/>
      <c r="AC187" s="3"/>
      <c r="AD187" s="3"/>
      <c r="AE187" s="3"/>
      <c r="AF187" s="3"/>
      <c r="AG187" s="3"/>
      <c r="AH187" s="186"/>
      <c r="AI187" s="186"/>
      <c r="AJ187" s="3"/>
      <c r="AK187" s="3"/>
      <c r="AL187" s="3"/>
      <c r="AM187" s="3"/>
      <c r="AN187" s="3"/>
      <c r="AO187" s="3"/>
      <c r="AP187" s="3"/>
      <c r="AQ187" s="3"/>
      <c r="AR187" s="3"/>
      <c r="AS187" s="3"/>
      <c r="AT187" s="3"/>
    </row>
    <row r="188" spans="22:52" x14ac:dyDescent="0.2">
      <c r="V188" s="3"/>
      <c r="W188" s="3"/>
      <c r="X188" s="3"/>
      <c r="Y188" s="3"/>
      <c r="Z188" s="3"/>
      <c r="AA188" s="3"/>
      <c r="AB188" s="3"/>
      <c r="AC188" s="3"/>
      <c r="AD188" s="3"/>
      <c r="AE188" s="3"/>
      <c r="AF188" s="3"/>
      <c r="AG188" s="3"/>
      <c r="AH188" s="186"/>
      <c r="AI188" s="186"/>
      <c r="AJ188" s="3"/>
      <c r="AK188" s="3"/>
      <c r="AL188" s="3"/>
      <c r="AM188" s="3"/>
      <c r="AN188" s="3"/>
      <c r="AO188" s="3"/>
      <c r="AP188" s="3"/>
      <c r="AQ188" s="3"/>
      <c r="AR188" s="3"/>
      <c r="AS188" s="3"/>
      <c r="AT188" s="3"/>
    </row>
    <row r="189" spans="22:52" x14ac:dyDescent="0.2">
      <c r="V189" s="3"/>
      <c r="W189" s="3"/>
      <c r="X189" s="3"/>
      <c r="Y189" s="3"/>
      <c r="Z189" s="3"/>
      <c r="AA189" s="3"/>
      <c r="AB189" s="3"/>
      <c r="AC189" s="3"/>
      <c r="AD189" s="3"/>
      <c r="AE189" s="3"/>
      <c r="AF189" s="3"/>
      <c r="AG189" s="3"/>
      <c r="AH189" s="186"/>
      <c r="AI189" s="186"/>
      <c r="AJ189" s="3"/>
      <c r="AK189" s="3"/>
      <c r="AL189" s="3"/>
      <c r="AM189" s="3"/>
      <c r="AN189" s="3"/>
      <c r="AO189" s="3"/>
      <c r="AP189" s="3"/>
      <c r="AQ189" s="3"/>
      <c r="AR189" s="3"/>
      <c r="AS189" s="3"/>
      <c r="AT189" s="3"/>
    </row>
    <row r="190" spans="22:52" x14ac:dyDescent="0.2">
      <c r="V190" s="3"/>
      <c r="W190" s="3"/>
      <c r="X190" s="3"/>
      <c r="Y190" s="3"/>
      <c r="Z190" s="3"/>
      <c r="AA190" s="3"/>
      <c r="AB190" s="3"/>
      <c r="AC190" s="3"/>
      <c r="AD190" s="3"/>
      <c r="AE190" s="3"/>
      <c r="AF190" s="3"/>
      <c r="AG190" s="3"/>
      <c r="AH190" s="186"/>
      <c r="AI190" s="186"/>
      <c r="AJ190" s="3"/>
      <c r="AK190" s="3"/>
      <c r="AL190" s="3"/>
      <c r="AM190" s="3"/>
      <c r="AN190" s="3"/>
      <c r="AO190" s="3"/>
      <c r="AP190" s="3"/>
      <c r="AQ190" s="3"/>
      <c r="AR190" s="3"/>
      <c r="AS190" s="3"/>
      <c r="AT190" s="3"/>
    </row>
    <row r="191" spans="22:52" x14ac:dyDescent="0.2">
      <c r="V191" s="3"/>
      <c r="W191" s="3"/>
      <c r="X191" s="3"/>
      <c r="Y191" s="3"/>
      <c r="Z191" s="3"/>
      <c r="AA191" s="3"/>
      <c r="AB191" s="3"/>
      <c r="AC191" s="3"/>
      <c r="AD191" s="3"/>
      <c r="AE191" s="3"/>
      <c r="AF191" s="3"/>
      <c r="AG191" s="3"/>
      <c r="AH191" s="186"/>
      <c r="AI191" s="186"/>
      <c r="AJ191" s="3"/>
      <c r="AK191" s="3"/>
      <c r="AL191" s="3"/>
      <c r="AM191" s="3"/>
      <c r="AN191" s="3"/>
      <c r="AO191" s="3"/>
      <c r="AP191" s="3"/>
      <c r="AQ191" s="3"/>
      <c r="AR191" s="3"/>
      <c r="AS191" s="3"/>
      <c r="AT191" s="3"/>
    </row>
    <row r="192" spans="22:52" x14ac:dyDescent="0.2">
      <c r="V192" s="3"/>
      <c r="W192" s="3"/>
      <c r="X192" s="3"/>
      <c r="Y192" s="3"/>
      <c r="Z192" s="3"/>
      <c r="AA192" s="3"/>
      <c r="AB192" s="3"/>
      <c r="AC192" s="3"/>
      <c r="AD192" s="3"/>
      <c r="AE192" s="3"/>
      <c r="AF192" s="3"/>
      <c r="AG192" s="3"/>
      <c r="AH192" s="186"/>
      <c r="AI192" s="186"/>
      <c r="AJ192" s="3"/>
      <c r="AK192" s="3"/>
      <c r="AL192" s="3"/>
      <c r="AM192" s="3"/>
      <c r="AN192" s="3"/>
      <c r="AO192" s="3"/>
      <c r="AP192" s="3"/>
      <c r="AQ192" s="3"/>
      <c r="AR192" s="3"/>
      <c r="AS192" s="3"/>
      <c r="AT192" s="3"/>
    </row>
  </sheetData>
  <sheetProtection algorithmName="SHA-512" hashValue="bGOkZdBSfFQ4hyn7PjCLTQnjVXaCBBeZ5y1XSF5bIuIToc3w1VxqZMRBHAx527KRtqP5Dj8mpuq1BYQq28dNLw==" saltValue="E6FZe+5DfaCdrVVDg48sEw==" spinCount="100000" sheet="1" objects="1" scenarios="1" formatColumns="0" selectLockedCells="1"/>
  <mergeCells count="20">
    <mergeCell ref="AO162:AP162"/>
    <mergeCell ref="AJ155:AU157"/>
    <mergeCell ref="W44:W49"/>
    <mergeCell ref="W60:W65"/>
    <mergeCell ref="W76:W81"/>
    <mergeCell ref="W92:W97"/>
    <mergeCell ref="W68:W73"/>
    <mergeCell ref="W84:W89"/>
    <mergeCell ref="W101:W116"/>
    <mergeCell ref="W120:W127"/>
    <mergeCell ref="W131:W134"/>
    <mergeCell ref="W138:W139"/>
    <mergeCell ref="W52:W57"/>
    <mergeCell ref="W4:W9"/>
    <mergeCell ref="W12:W17"/>
    <mergeCell ref="W1:AF1"/>
    <mergeCell ref="AJ151:AU154"/>
    <mergeCell ref="W20:W25"/>
    <mergeCell ref="W28:W33"/>
    <mergeCell ref="W36:W41"/>
  </mergeCells>
  <phoneticPr fontId="13" type="noConversion"/>
  <conditionalFormatting sqref="AB101:AB116 AE101:AE116 AB120:AB127 AE120:AE127 AB131:AB134 AE131:AE134 AB138:AB139 AE138:AE139 AB143 AE143 AB147 AE147">
    <cfRule type="expression" dxfId="27" priority="166" stopIfTrue="1">
      <formula>IF(COUNT($AC101:$AD101)=2,IF(AND($AB101&lt;&gt;$AE101,$AC101=$AD101,$AB101&lt;&gt;"",$AE101&lt;&gt;""),1=2,IF(AND($AB101&lt;&gt;"",$AC101=$AD101),1=1,IF(AND($AB101="",$AC101=$AD101),1=1,1=2))),1=2)</formula>
    </cfRule>
  </conditionalFormatting>
  <conditionalFormatting sqref="AC4:AD9 AC12:AD17 AC20:AD25 AC28:AD33 AC36:AD41 AC44:AD49 AC52:AD57 AC60:AD65 AC68:AD73 AC76:AD81 AC84:AD89 AC92:AD97 AC101:AD116 AC120:AD127 AC131:AD134 AC138:AD139 AC143:AD143 AC147:AD147">
    <cfRule type="expression" dxfId="26" priority="31" stopIfTrue="1">
      <formula>AC4=""</formula>
    </cfRule>
  </conditionalFormatting>
  <conditionalFormatting sqref="AJ8:AT8 AJ16:AT16 AJ24:AT24 AJ32:AT32 AJ40:AT40 AJ48:AT48 AJ56:AT56 AJ64:AT64 AJ72:AT72 AJ80:AT80 AJ88:AT88 AJ96:AT96 AJ110:AT113">
    <cfRule type="expression" dxfId="25" priority="5">
      <formula>AND(OR(SUM($AN$102:$AN$113)=36,$AJ$99=144),COUNTIF($AL$110:$AL$113,$AL8))</formula>
    </cfRule>
  </conditionalFormatting>
  <conditionalFormatting sqref="AJ9:AT9 AJ17:AT17 AJ25:AT25 AJ33:AT33 AJ41:AT41 AJ49:AT49 AJ57:AT57 AJ65:AT65 AJ73:AT73 AJ81:AT81 AJ89:AT89 AJ97:AT97">
    <cfRule type="expression" dxfId="24" priority="298" stopIfTrue="1">
      <formula>OR(SUM($AN6:$AN9)=12,$AJ$99=144)</formula>
    </cfRule>
  </conditionalFormatting>
  <conditionalFormatting sqref="AJ151:AU157">
    <cfRule type="expression" dxfId="23" priority="225">
      <formula>IF($AJ$151=$AL$149,1,0)</formula>
    </cfRule>
  </conditionalFormatting>
  <conditionalFormatting sqref="AL115">
    <cfRule type="expression" dxfId="22" priority="2">
      <formula>IF($AJ$99=144,1,0)</formula>
    </cfRule>
  </conditionalFormatting>
  <conditionalFormatting sqref="AL116">
    <cfRule type="expression" dxfId="21" priority="1">
      <formula>IF($AJ$99=144,1,0)</formula>
    </cfRule>
  </conditionalFormatting>
  <conditionalFormatting sqref="AM102:AM113 AR102:AT113">
    <cfRule type="expression" dxfId="20" priority="710" stopIfTrue="1">
      <formula>$BB$57=3</formula>
    </cfRule>
  </conditionalFormatting>
  <conditionalFormatting sqref="AV6:AV9 AV14:AV17 AV22:AV25 AV30:AV33 AV38:AV41 AV46:AV49 AV54:AV57 AV62:AV65 AV70:AV73 AV78:AV81 AV86:AV89 AV94:AV97">
    <cfRule type="expression" dxfId="19" priority="916" stopIfTrue="1">
      <formula>INDEX($DL$6:$DL$53,MATCH($AL6,$DQ$6:$DQ$53,0))&gt;1</formula>
    </cfRule>
  </conditionalFormatting>
  <conditionalFormatting sqref="AV102:AV113">
    <cfRule type="expression" dxfId="18" priority="928" stopIfTrue="1">
      <formula>AND(INDEX($DL$58:$DL$69,MATCH($AL102,$DQ$58:$DQ$69,0))&gt;1,$H$113=144)</formula>
    </cfRule>
  </conditionalFormatting>
  <conditionalFormatting sqref="AW6:AW9 AW14:AW17 AW22:AW25 AW30:AW33 AW38:AW41 AW46:AW49 AW54:AW57 AW62:AW65 AW70:AW73 AW78:AW81 AW86:AW89 AW94:AW97">
    <cfRule type="expression" dxfId="17" priority="929" stopIfTrue="1">
      <formula>INDEX($DL$6:$DL$53,MATCH($AL6,$DQ$6:$DQ$53,0))&gt;1</formula>
    </cfRule>
  </conditionalFormatting>
  <conditionalFormatting sqref="AW102:AW113">
    <cfRule type="expression" dxfId="16" priority="941">
      <formula>AND(INDEX($DL$58:$DL$69,MATCH($AL102,$DQ$58:$DQ$69,0))&gt;1,$H$113=144)</formula>
    </cfRule>
  </conditionalFormatting>
  <conditionalFormatting sqref="AY5:AZ97">
    <cfRule type="expression" dxfId="15" priority="942">
      <formula>IF($AZ$3="No",1,0)</formula>
    </cfRule>
  </conditionalFormatting>
  <conditionalFormatting sqref="AY101:AZ101">
    <cfRule type="expression" dxfId="14" priority="7">
      <formula>+IF(OR($H$113&gt;=48,$AJ$99=144),1,0)</formula>
    </cfRule>
  </conditionalFormatting>
  <dataValidations count="2">
    <dataValidation type="whole" operator="lessThan" allowBlank="1" showInputMessage="1" showErrorMessage="1" errorTitle="Escribe un número negativo" error="Write a negative number" sqref="AZ6:AZ9 AZ14:AZ17 AZ22:AZ25 AZ30:AZ33 AZ38:AZ41 AZ46:AZ49 AZ54:AZ57 AZ62:AZ65 AZ70:AZ73 AZ78:AZ81 AZ86:AZ89 AZ94:AZ97" xr:uid="{0A1F2BD6-48E6-C743-AF4D-773ACCF8D344}">
      <formula1>0</formula1>
    </dataValidation>
    <dataValidation type="whole" allowBlank="1" showInputMessage="1" showErrorMessage="1" errorTitle="Introduce un número" error="Introduce a number" sqref="AB147:AE147 AB143:AE143 AB138:AE139 AB131:AE134 AB120:AE127 AB101:AE116 AC92:AD97 AC84:AD89 AC76:AD81 AC68:AD73 AC60:AD65 AC52:AD57 AC44:AD49 AC36:AD41 AC28:AD33 AC20:AD25 AC12:AD17 AC4:AD9" xr:uid="{120955B6-00F5-7F45-BDB7-592E6F372E85}">
      <formula1>0</formula1>
      <formula2>500</formula2>
    </dataValidation>
  </dataValidations>
  <hyperlinks>
    <hyperlink ref="AL162" r:id="rId1" display="© Miguel Angel Tejero. 2025" xr:uid="{6A1013A7-5450-F84C-BF37-BC6F4ECAC7CF}"/>
    <hyperlink ref="AO162" r:id="rId2" display="https://www.paypal.com/donate?business=PJ2B6ZBH7ZHR4&amp;currency_code=EUR" xr:uid="{C850AAFB-82A0-0B47-803F-18D4A3F16B94}"/>
    <hyperlink ref="AV1" r:id="rId3" xr:uid="{7C87204F-A578-DF48-B7C0-ABF4EB164DFF}"/>
    <hyperlink ref="AF162" location="Fixture!A1" display="Fixture" xr:uid="{052ACF60-5D13-F744-9003-12B3EE7E07FB}"/>
  </hyperlinks>
  <pageMargins left="0.7" right="0.7" top="0.75" bottom="0.75" header="0.3" footer="0.3"/>
  <pageSetup paperSize="9" orientation="portrait" r:id="rId4"/>
  <ignoredErrors>
    <ignoredError sqref="AL1 AA162" unlockedFormula="1"/>
  </ignoredErrors>
  <extLst>
    <ext xmlns:x14="http://schemas.microsoft.com/office/spreadsheetml/2009/9/main" uri="{78C0D931-6437-407d-A8EE-F0AAD7539E65}">
      <x14:conditionalFormattings>
        <x14:conditionalFormatting xmlns:xm="http://schemas.microsoft.com/office/excel/2006/main">
          <x14:cfRule type="iconSet" priority="68" id="{00000000-000E-0000-0100-00003D000000}">
            <x14:iconSet iconSet="3Symbols2" showValue="0" custom="1">
              <x14:cfvo type="percent">
                <xm:f>0</xm:f>
              </x14:cfvo>
              <x14:cfvo type="num">
                <xm:f>0.5</xm:f>
              </x14:cfvo>
              <x14:cfvo type="num">
                <xm:f>1</xm:f>
              </x14:cfvo>
              <x14:cfIcon iconSet="3TrafficLights1" iconId="0"/>
              <x14:cfIcon iconSet="3TrafficLights1" iconId="1"/>
              <x14:cfIcon iconSet="3TrafficLights1" iconId="2"/>
            </x14:iconSet>
          </x14:cfRule>
          <xm:sqref>AG4:AG97 AG101:AG160</xm:sqref>
        </x14:conditionalFormatting>
        <x14:conditionalFormatting xmlns:xm="http://schemas.microsoft.com/office/excel/2006/main">
          <x14:cfRule type="iconSet" priority="632" id="{00000000-000E-0000-0100-000055020000}">
            <x14:iconSet iconSet="3Symbols2" showValue="0" custom="1">
              <x14:cfvo type="percent">
                <xm:f>0</xm:f>
              </x14:cfvo>
              <x14:cfvo type="num">
                <xm:f>0</xm:f>
              </x14:cfvo>
              <x14:cfvo type="num" gte="0">
                <xm:f>1</xm:f>
              </x14:cfvo>
              <x14:cfIcon iconSet="NoIcons" iconId="0"/>
              <x14:cfIcon iconSet="NoIcons" iconId="0"/>
              <x14:cfIcon iconSet="3Symbols2" iconId="1"/>
            </x14:iconSet>
          </x14:cfRule>
          <xm:sqref>AU6:AU9 AU14:AU17 AU22:AU25 AU30:AU33 AU38:AU41 AU46:AU49 AU54:AU57 AU62:AU65 AU70:AU73 AU78:AU81 AU86:AU89 AU94:AU97 AU102:AU113</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97B73F36-8869-204A-8092-12E31C5FDA9D}">
          <x14:formula1>
            <xm:f>Equipos!$F$2:$F$13</xm:f>
          </x14:formula1>
          <xm:sqref>B4 B12 B20 B28 B36 B44 B52 B60 B68 B76 B84 B92</xm:sqref>
        </x14:dataValidation>
        <x14:dataValidation type="list" allowBlank="1" showInputMessage="1" showErrorMessage="1" xr:uid="{DA804455-EFBF-9242-9C04-8F65DDDD0486}">
          <x14:formula1>
            <xm:f>OFFSET(Horarios!$P$3,DJ50-1,0,DL50,1)</xm:f>
          </x14:formula1>
          <xm:sqref>AW102:AW113 AW94:AW97</xm:sqref>
        </x14:dataValidation>
        <x14:dataValidation type="list" allowBlank="1" showInputMessage="1" showErrorMessage="1" error="Introduce un puesto que corresponda_x000a_" xr:uid="{271BC99E-0ECA-794F-8547-CDB0CA063DB4}">
          <x14:formula1>
            <xm:f>OFFSET(Horarios!$P$3,DJ6-1,0,DL6,1)</xm:f>
          </x14:formula1>
          <xm:sqref>AW6:AW9</xm:sqref>
        </x14:dataValidation>
        <x14:dataValidation type="list" allowBlank="1" showInputMessage="1" showErrorMessage="1" error="Introduce un puesto que corresponda_x000a_" xr:uid="{AA5DA48F-0D92-E342-B3EE-C71FCEE28945}">
          <x14:formula1>
            <xm:f>OFFSET(Horarios!$P$3,DJ10-1,0,DL10,1)</xm:f>
          </x14:formula1>
          <xm:sqref>AW14:AW17</xm:sqref>
        </x14:dataValidation>
        <x14:dataValidation type="list" allowBlank="1" showInputMessage="1" showErrorMessage="1" error="Introduce un puesto que corresponda_x000a_" xr:uid="{95B7EE6E-68E1-B44F-BF63-39356F5CC1BA}">
          <x14:formula1>
            <xm:f>OFFSET(Horarios!$P$3,DJ14-1,0,DL14,1)</xm:f>
          </x14:formula1>
          <xm:sqref>AW22:AW25</xm:sqref>
        </x14:dataValidation>
        <x14:dataValidation type="list" allowBlank="1" showInputMessage="1" showErrorMessage="1" xr:uid="{199E120F-74F1-F443-B9AF-F405107BF03C}">
          <x14:formula1>
            <xm:f>OFFSET(Horarios!$P$3,DJ18-1,0,DL18,1)</xm:f>
          </x14:formula1>
          <xm:sqref>AW30:AW33</xm:sqref>
        </x14:dataValidation>
        <x14:dataValidation type="list" allowBlank="1" showInputMessage="1" showErrorMessage="1" xr:uid="{C7DE6235-2196-B348-87D0-BAADE85203F0}">
          <x14:formula1>
            <xm:f>OFFSET(Horarios!$P$3,DJ22-1,0,DL22,1)</xm:f>
          </x14:formula1>
          <xm:sqref>AW38:AW41</xm:sqref>
        </x14:dataValidation>
        <x14:dataValidation type="list" allowBlank="1" showInputMessage="1" showErrorMessage="1" xr:uid="{1C6D2E5E-7F14-2C48-83CE-E7C507319566}">
          <x14:formula1>
            <xm:f>OFFSET(Horarios!$P$3,DJ26-1,0,DL26,1)</xm:f>
          </x14:formula1>
          <xm:sqref>AW46:AW49</xm:sqref>
        </x14:dataValidation>
        <x14:dataValidation type="list" allowBlank="1" showInputMessage="1" showErrorMessage="1" xr:uid="{2DB754D6-A1CB-0841-82AB-C6783A05837E}">
          <x14:formula1>
            <xm:f>OFFSET(Horarios!$P$3,DJ30-1,0,DL30,1)</xm:f>
          </x14:formula1>
          <xm:sqref>AW54:AW57</xm:sqref>
        </x14:dataValidation>
        <x14:dataValidation type="list" allowBlank="1" showInputMessage="1" showErrorMessage="1" xr:uid="{58077E07-99D3-B14E-87EB-5D1715618098}">
          <x14:formula1>
            <xm:f>OFFSET(Horarios!$P$3,DJ34-1,0,DL34,1)</xm:f>
          </x14:formula1>
          <xm:sqref>AW62:AW65</xm:sqref>
        </x14:dataValidation>
        <x14:dataValidation type="list" allowBlank="1" showInputMessage="1" showErrorMessage="1" xr:uid="{2F4EAC24-E330-1340-911E-20B5AD8ADCC9}">
          <x14:formula1>
            <xm:f>OFFSET(Horarios!$P$3,DJ38-1,0,DL38,1)</xm:f>
          </x14:formula1>
          <xm:sqref>AW70:AW73</xm:sqref>
        </x14:dataValidation>
        <x14:dataValidation type="list" allowBlank="1" showInputMessage="1" showErrorMessage="1" xr:uid="{56C2A2DF-C240-C343-9D8B-818981234B8F}">
          <x14:formula1>
            <xm:f>OFFSET(Horarios!$P$3,DJ42-1,0,DL42,1)</xm:f>
          </x14:formula1>
          <xm:sqref>AW78:AW81</xm:sqref>
        </x14:dataValidation>
        <x14:dataValidation type="list" allowBlank="1" showInputMessage="1" showErrorMessage="1" xr:uid="{F2BC73FD-BB69-F14B-9A96-A479B39FA615}">
          <x14:formula1>
            <xm:f>OFFSET(Horarios!$P$3,DJ46-1,0,DL46,1)</xm:f>
          </x14:formula1>
          <xm:sqref>AW86:AW89</xm:sqref>
        </x14:dataValidation>
        <x14:dataValidation type="list" allowBlank="1" showInputMessage="1" showErrorMessage="1" xr:uid="{26C4DFAB-746D-9E40-A43F-E597FB4CB602}">
          <x14:formula1>
            <xm:f>Idiomas!$D$70:$D$71</xm:f>
          </x14:formula1>
          <xm:sqref>AZ3</xm:sqref>
        </x14:dataValidation>
        <x14:dataValidation type="list" allowBlank="1" showInputMessage="1" showErrorMessage="1" xr:uid="{1E96E69B-6538-C143-9348-8C3F854066E4}">
          <x14:formula1>
            <xm:f>Idiomas!$D$73:$D$75</xm:f>
          </x14:formula1>
          <xm:sqref>AL116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5A2D-DC81-7D4F-B172-78A472C1A01C}">
  <sheetPr codeName="Hoja3"/>
  <dimension ref="A1:P258"/>
  <sheetViews>
    <sheetView showGridLines="0" zoomScaleNormal="100" workbookViewId="0">
      <selection activeCell="C5" sqref="C5:C258"/>
    </sheetView>
  </sheetViews>
  <sheetFormatPr baseColWidth="10" defaultColWidth="0" defaultRowHeight="15" x14ac:dyDescent="0.2"/>
  <cols>
    <col min="1" max="1" width="10.83203125" style="13" customWidth="1"/>
    <col min="2" max="2" width="29.5" customWidth="1"/>
    <col min="3" max="3" width="35" customWidth="1"/>
    <col min="4" max="4" width="12.6640625" style="369" customWidth="1"/>
    <col min="5" max="8" width="10.83203125" style="369" customWidth="1"/>
    <col min="9" max="9" width="3.1640625" style="369" customWidth="1"/>
    <col min="10" max="12" width="10.83203125" style="369" customWidth="1"/>
    <col min="13" max="13" width="3.6640625" style="369" customWidth="1"/>
    <col min="14" max="14" width="4.6640625" style="369" customWidth="1"/>
    <col min="15" max="15" width="4" customWidth="1"/>
    <col min="16" max="16" width="4.83203125" customWidth="1"/>
    <col min="17" max="16384" width="10.83203125" style="1" hidden="1"/>
  </cols>
  <sheetData>
    <row r="1" spans="1:14" ht="20" customHeight="1" x14ac:dyDescent="0.25">
      <c r="A1" s="292"/>
      <c r="B1" s="293"/>
      <c r="C1" s="322" t="str">
        <f>Idiomas!D102</f>
        <v>For the administrator of the pool</v>
      </c>
      <c r="D1" s="367"/>
      <c r="E1" s="698" t="str">
        <f>Idiomas!D106</f>
        <v xml:space="preserve">THE POOL ADMINISTRATOR SHOULD FOLLOW THE INSTRUCTIONS BELOW				</v>
      </c>
      <c r="F1" s="698"/>
      <c r="G1" s="698"/>
      <c r="H1" s="698"/>
      <c r="I1" s="698"/>
      <c r="J1" s="698"/>
      <c r="K1" s="698"/>
      <c r="L1" s="698"/>
      <c r="M1" s="698"/>
      <c r="N1" s="698"/>
    </row>
    <row r="2" spans="1:14" ht="20" customHeight="1" thickBot="1" x14ac:dyDescent="0.3">
      <c r="A2" s="290"/>
      <c r="B2" s="291"/>
      <c r="C2" s="291"/>
      <c r="D2" s="368"/>
      <c r="E2" s="698"/>
      <c r="F2" s="698"/>
      <c r="G2" s="698"/>
      <c r="H2" s="698"/>
      <c r="I2" s="698"/>
      <c r="J2" s="698"/>
      <c r="K2" s="698"/>
      <c r="L2" s="698"/>
      <c r="M2" s="698"/>
      <c r="N2" s="698"/>
    </row>
    <row r="3" spans="1:14" ht="35" customHeight="1" thickBot="1" x14ac:dyDescent="0.3">
      <c r="A3" s="290"/>
      <c r="B3" s="294" t="str">
        <f>HYPERLINK(Idiomas!D10,Idiomas!D9)</f>
        <v>▼ Download Administrator Excel File ▼</v>
      </c>
      <c r="C3" s="291"/>
      <c r="D3" s="368"/>
      <c r="E3" s="701" t="str">
        <f>Idiomas!D107</f>
        <v xml:space="preserve">·If you play the whole tournament at once de golpe select from C5 to C258 and paste in the Administrator template.			</v>
      </c>
      <c r="F3" s="701"/>
      <c r="G3" s="701"/>
      <c r="H3" s="701"/>
      <c r="I3" s="701"/>
      <c r="J3" s="701"/>
      <c r="K3" s="701"/>
      <c r="L3" s="701"/>
      <c r="M3" s="701"/>
      <c r="N3" s="702"/>
    </row>
    <row r="4" spans="1:14" ht="45" customHeight="1" x14ac:dyDescent="0.25">
      <c r="A4" s="290"/>
      <c r="B4" s="291"/>
      <c r="C4" s="580" t="str">
        <f>Idiomas!D105</f>
        <v>PLAYER: DO NOT TOUCH, IT'S AUTOMATIC!</v>
      </c>
      <c r="D4" s="368"/>
      <c r="E4" s="700" t="str">
        <f>Idiomas!D108</f>
        <v>·If you play the whole Group Stage at the begining and later the KO rounds select from C5 to C161 and paste in the Administrator template. Also copy and paste values form C253 to C258. For the round of 32 follow the instructions.</v>
      </c>
      <c r="F4" s="700"/>
      <c r="G4" s="700"/>
      <c r="H4" s="700"/>
      <c r="I4" s="700"/>
      <c r="J4" s="700"/>
      <c r="K4" s="700"/>
      <c r="L4" s="700"/>
      <c r="M4" s="700"/>
      <c r="N4" s="377"/>
    </row>
    <row r="5" spans="1:14" ht="19" customHeight="1" x14ac:dyDescent="0.2">
      <c r="A5" s="353"/>
      <c r="B5" s="354" t="str">
        <f>Idiomas!D125</f>
        <v>GROUP STAGE</v>
      </c>
      <c r="C5" s="346" t="str">
        <f>Home!C10</f>
        <v>Name</v>
      </c>
      <c r="E5" s="689" t="str">
        <f>Idiomas!D109</f>
        <v>·If you play by Rounds, follow de instuctions of every round.</v>
      </c>
      <c r="F5" s="689"/>
      <c r="G5" s="689"/>
      <c r="H5" s="689"/>
      <c r="I5" s="689"/>
      <c r="J5" s="378"/>
      <c r="K5" s="378"/>
      <c r="L5" s="378"/>
      <c r="M5" s="379"/>
      <c r="N5" s="377"/>
    </row>
    <row r="6" spans="1:14" ht="15" customHeight="1" x14ac:dyDescent="0.2">
      <c r="A6" s="355" t="s">
        <v>114</v>
      </c>
      <c r="B6" s="356" t="str">
        <f ca="1">CONCATENATE(WORLDCUP!AA4,"-",WORLDCUP!AF4)</f>
        <v>Mexico-South Africa</v>
      </c>
      <c r="C6" s="347" t="str">
        <f>CONCATENATE(IF(WORLDCUP!AC4&gt;WORLDCUP!AD4,1,IF(WORLDCUP!AC4&lt;WORLDCUP!AD4,2,IF(AND(WORLDCUP!AC4=WORLDCUP!AD4,WORLDCUP!AC4&lt;&gt;"",WORLDCUP!AD4&lt;&gt;""),"X",0))),"|",WORLDCUP!AC4,"-",WORLDCUP!AD4)</f>
        <v>0|-</v>
      </c>
      <c r="D6" s="693" t="str">
        <f>Idiomas!D122</f>
        <v>R1</v>
      </c>
      <c r="E6" s="699" t="str">
        <f>Idiomas!D110</f>
        <v>·For the 1st Round copy from C5 to C29 an paste as values in the Administrator Pool. CAUTION. Also copy and paste values form C253 to C258.</v>
      </c>
      <c r="F6" s="699"/>
      <c r="G6" s="699"/>
      <c r="H6" s="699"/>
      <c r="I6" s="380"/>
      <c r="J6" s="370"/>
      <c r="K6" s="370"/>
      <c r="L6" s="370"/>
      <c r="M6" s="379"/>
      <c r="N6" s="377"/>
    </row>
    <row r="7" spans="1:14" ht="15" customHeight="1" x14ac:dyDescent="0.2">
      <c r="A7" s="355" t="s">
        <v>114</v>
      </c>
      <c r="B7" s="356" t="str">
        <f ca="1">CONCATENATE(WORLDCUP!AA5,"-",WORLDCUP!AF5)</f>
        <v>South Korea-Czech Republic</v>
      </c>
      <c r="C7" s="348" t="str">
        <f>CONCATENATE(IF(WORLDCUP!AC5&gt;WORLDCUP!AD5,1,IF(WORLDCUP!AC5&lt;WORLDCUP!AD5,2,IF(AND(WORLDCUP!AC5=WORLDCUP!AD5,WORLDCUP!AC5&lt;&gt;"",WORLDCUP!AD5&lt;&gt;""),"X",0))),"|",WORLDCUP!AC5,"-",WORLDCUP!AD5)</f>
        <v>0|-</v>
      </c>
      <c r="D7" s="693"/>
      <c r="E7" s="685"/>
      <c r="F7" s="685"/>
      <c r="G7" s="685"/>
      <c r="H7" s="685"/>
      <c r="I7" s="381"/>
      <c r="J7" s="370"/>
      <c r="K7" s="370"/>
      <c r="L7" s="370"/>
      <c r="M7" s="379"/>
      <c r="N7" s="377"/>
    </row>
    <row r="8" spans="1:14" ht="15" customHeight="1" x14ac:dyDescent="0.2">
      <c r="A8" s="38" t="s">
        <v>115</v>
      </c>
      <c r="B8" s="357" t="str">
        <f ca="1">CONCATENATE(WORLDCUP!AA12,"-",WORLDCUP!AF12)</f>
        <v>Canada-Bosnia and Herzegovina</v>
      </c>
      <c r="C8" s="348" t="str">
        <f>CONCATENATE(IF(WORLDCUP!AC12&gt;WORLDCUP!AD12,1,IF(WORLDCUP!AC12&lt;WORLDCUP!AD12,2,IF(AND(WORLDCUP!AC12=WORLDCUP!AD12,WORLDCUP!AC12&lt;&gt;"",WORLDCUP!AD12&lt;&gt;""),"X",0))),"|",WORLDCUP!AC12,"-",WORLDCUP!AD12)</f>
        <v>0|-</v>
      </c>
      <c r="D8" s="693"/>
      <c r="E8" s="685"/>
      <c r="F8" s="685"/>
      <c r="G8" s="685"/>
      <c r="H8" s="685"/>
      <c r="I8" s="381"/>
      <c r="J8" s="370"/>
      <c r="K8" s="370"/>
      <c r="L8" s="370"/>
      <c r="M8" s="379"/>
      <c r="N8" s="377"/>
    </row>
    <row r="9" spans="1:14" ht="15" customHeight="1" x14ac:dyDescent="0.2">
      <c r="A9" s="38" t="s">
        <v>115</v>
      </c>
      <c r="B9" s="357" t="str">
        <f ca="1">CONCATENATE(WORLDCUP!AA13,"-",WORLDCUP!AF13)</f>
        <v>Qatar-Switzerland</v>
      </c>
      <c r="C9" s="349" t="str">
        <f>CONCATENATE(IF(WORLDCUP!AC13&gt;WORLDCUP!AD13,1,IF(WORLDCUP!AC13&lt;WORLDCUP!AD13,2,IF(AND(WORLDCUP!AC13=WORLDCUP!AD13,WORLDCUP!AC13&lt;&gt;"",WORLDCUP!AD13&lt;&gt;""),"X",0))),"|",WORLDCUP!AC13,"-",WORLDCUP!AD13)</f>
        <v>0|-</v>
      </c>
      <c r="D9" s="693"/>
      <c r="E9" s="685"/>
      <c r="F9" s="685"/>
      <c r="G9" s="685"/>
      <c r="H9" s="685"/>
      <c r="I9" s="381"/>
      <c r="J9" s="370"/>
      <c r="K9" s="370"/>
      <c r="L9" s="370"/>
      <c r="M9" s="379"/>
      <c r="N9" s="377"/>
    </row>
    <row r="10" spans="1:14" ht="15" customHeight="1" x14ac:dyDescent="0.2">
      <c r="A10" s="355" t="s">
        <v>116</v>
      </c>
      <c r="B10" s="356" t="str">
        <f ca="1">CONCATENATE(WORLDCUP!AA20,"-",WORLDCUP!AF20)</f>
        <v>Brazil-Morocco</v>
      </c>
      <c r="C10" s="349" t="str">
        <f>CONCATENATE(IF(WORLDCUP!AC20&gt;WORLDCUP!AD20,1,IF(WORLDCUP!AC20&lt;WORLDCUP!AD20,2,IF(AND(WORLDCUP!AC20=WORLDCUP!AD20,WORLDCUP!AC20&lt;&gt;"",WORLDCUP!AD20&lt;&gt;""),"X",0))),"|",WORLDCUP!AC20,"-",WORLDCUP!AD20)</f>
        <v>0|-</v>
      </c>
      <c r="D10" s="693"/>
      <c r="E10" s="370"/>
      <c r="F10" s="370"/>
      <c r="G10" s="370"/>
      <c r="H10" s="370"/>
      <c r="I10" s="381"/>
      <c r="J10" s="370"/>
      <c r="K10" s="370"/>
      <c r="L10" s="370"/>
      <c r="M10" s="379"/>
      <c r="N10" s="377"/>
    </row>
    <row r="11" spans="1:14" ht="15" customHeight="1" x14ac:dyDescent="0.2">
      <c r="A11" s="355" t="s">
        <v>116</v>
      </c>
      <c r="B11" s="356" t="str">
        <f ca="1">CONCATENATE(WORLDCUP!AA21,"-",WORLDCUP!AF21)</f>
        <v>Haiti-Scotland</v>
      </c>
      <c r="C11" s="349" t="str">
        <f>CONCATENATE(IF(WORLDCUP!AC21&gt;WORLDCUP!AD21,1,IF(WORLDCUP!AC21&lt;WORLDCUP!AD21,2,IF(AND(WORLDCUP!AC21=WORLDCUP!AD21,WORLDCUP!AC21&lt;&gt;"",WORLDCUP!AD21&lt;&gt;""),"X",0))),"|",WORLDCUP!AC21,"-",WORLDCUP!AD21)</f>
        <v>0|-</v>
      </c>
      <c r="D11" s="693"/>
      <c r="E11" s="370"/>
      <c r="F11" s="370"/>
      <c r="G11" s="370"/>
      <c r="H11" s="370"/>
      <c r="I11" s="381"/>
      <c r="J11" s="370"/>
      <c r="K11" s="370"/>
      <c r="L11" s="370"/>
      <c r="M11" s="379"/>
      <c r="N11" s="377"/>
    </row>
    <row r="12" spans="1:14" ht="15" customHeight="1" x14ac:dyDescent="0.2">
      <c r="A12" s="38" t="s">
        <v>117</v>
      </c>
      <c r="B12" s="357" t="str">
        <f ca="1">CONCATENATE(WORLDCUP!AA28,"-",WORLDCUP!AF28)</f>
        <v>United States-Paraguay</v>
      </c>
      <c r="C12" s="349" t="str">
        <f>CONCATENATE(IF(WORLDCUP!AC28&gt;WORLDCUP!AD28,1,IF(WORLDCUP!AC28&lt;WORLDCUP!AD28,2,IF(AND(WORLDCUP!AC28=WORLDCUP!AD28,WORLDCUP!AC28&lt;&gt;"",WORLDCUP!AD28&lt;&gt;""),"X",0))),"|",WORLDCUP!AC28,"-",WORLDCUP!AD28)</f>
        <v>0|-</v>
      </c>
      <c r="D12" s="693"/>
      <c r="E12" s="370"/>
      <c r="F12" s="370"/>
      <c r="G12" s="370"/>
      <c r="H12" s="370"/>
      <c r="I12" s="381"/>
      <c r="J12" s="370"/>
      <c r="K12" s="370"/>
      <c r="L12" s="370"/>
      <c r="M12" s="379"/>
      <c r="N12" s="377"/>
    </row>
    <row r="13" spans="1:14" ht="15" customHeight="1" x14ac:dyDescent="0.2">
      <c r="A13" s="38" t="s">
        <v>117</v>
      </c>
      <c r="B13" s="357" t="str">
        <f ca="1">CONCATENATE(WORLDCUP!AA29,"-",WORLDCUP!AF29)</f>
        <v>Australia-Turkey</v>
      </c>
      <c r="C13" s="349" t="str">
        <f>CONCATENATE(IF(WORLDCUP!AC29&gt;WORLDCUP!AD29,1,IF(WORLDCUP!AC29&lt;WORLDCUP!AD29,2,IF(AND(WORLDCUP!AC29=WORLDCUP!AD29,WORLDCUP!AC29&lt;&gt;"",WORLDCUP!AD29&lt;&gt;""),"X",0))),"|",WORLDCUP!AC29,"-",WORLDCUP!AD29)</f>
        <v>0|-</v>
      </c>
      <c r="D13" s="693"/>
      <c r="E13" s="370"/>
      <c r="F13" s="370"/>
      <c r="G13" s="370"/>
      <c r="H13" s="370"/>
      <c r="I13" s="381"/>
      <c r="J13" s="370"/>
      <c r="K13" s="370"/>
      <c r="L13" s="370"/>
      <c r="M13" s="379"/>
      <c r="N13" s="377"/>
    </row>
    <row r="14" spans="1:14" ht="15" customHeight="1" x14ac:dyDescent="0.2">
      <c r="A14" s="355" t="s">
        <v>118</v>
      </c>
      <c r="B14" s="356" t="str">
        <f ca="1">CONCATENATE(WORLDCUP!AA36,"-",WORLDCUP!AF36)</f>
        <v>Germany-Curaçao</v>
      </c>
      <c r="C14" s="349" t="str">
        <f>CONCATENATE(IF(WORLDCUP!AC36&gt;WORLDCUP!AD36,1,IF(WORLDCUP!AC36&lt;WORLDCUP!AD36,2,IF(AND(WORLDCUP!AC36=WORLDCUP!AD36,WORLDCUP!AC36&lt;&gt;"",WORLDCUP!AD36&lt;&gt;""),"X",0))),"|",WORLDCUP!AC36,"-",WORLDCUP!AD36)</f>
        <v>0|-</v>
      </c>
      <c r="D14" s="693"/>
      <c r="E14" s="370"/>
      <c r="F14" s="370"/>
      <c r="G14" s="370"/>
      <c r="H14" s="370"/>
      <c r="I14" s="381"/>
      <c r="J14" s="370"/>
      <c r="K14" s="370"/>
      <c r="L14" s="370"/>
      <c r="M14" s="379"/>
      <c r="N14" s="377"/>
    </row>
    <row r="15" spans="1:14" ht="15" customHeight="1" x14ac:dyDescent="0.2">
      <c r="A15" s="355" t="s">
        <v>118</v>
      </c>
      <c r="B15" s="356" t="str">
        <f ca="1">CONCATENATE(WORLDCUP!AA37,"-",WORLDCUP!AF37)</f>
        <v>Ivory Coast-Ecuador</v>
      </c>
      <c r="C15" s="349" t="str">
        <f>CONCATENATE(IF(WORLDCUP!AC37&gt;WORLDCUP!AD37,1,IF(WORLDCUP!AC37&lt;WORLDCUP!AD37,2,IF(AND(WORLDCUP!AC37=WORLDCUP!AD37,WORLDCUP!AC37&lt;&gt;"",WORLDCUP!AD37&lt;&gt;""),"X",0))),"|",WORLDCUP!AC37,"-",WORLDCUP!AD37)</f>
        <v>0|-</v>
      </c>
      <c r="D15" s="693"/>
      <c r="E15" s="370"/>
      <c r="F15" s="370"/>
      <c r="G15" s="370"/>
      <c r="H15" s="370"/>
      <c r="I15" s="381"/>
      <c r="J15" s="370"/>
      <c r="K15" s="370"/>
      <c r="L15" s="370"/>
      <c r="M15" s="379"/>
      <c r="N15" s="377"/>
    </row>
    <row r="16" spans="1:14" ht="15" customHeight="1" x14ac:dyDescent="0.2">
      <c r="A16" s="38" t="s">
        <v>119</v>
      </c>
      <c r="B16" s="357" t="str">
        <f ca="1">CONCATENATE(WORLDCUP!AA44,"-",WORLDCUP!AF44)</f>
        <v>Netherlands-Japan</v>
      </c>
      <c r="C16" s="349" t="str">
        <f>CONCATENATE(IF(WORLDCUP!AC44&gt;WORLDCUP!AD44,1,IF(WORLDCUP!AC44&lt;WORLDCUP!AD44,2,IF(AND(WORLDCUP!AC44=WORLDCUP!AD44,WORLDCUP!AC44&lt;&gt;"",WORLDCUP!AD44&lt;&gt;""),"X",0))),"|",WORLDCUP!AC44,"-",WORLDCUP!AD44)</f>
        <v>0|-</v>
      </c>
      <c r="D16" s="693"/>
      <c r="E16" s="370"/>
      <c r="F16" s="370"/>
      <c r="G16" s="370"/>
      <c r="H16" s="370"/>
      <c r="I16" s="381"/>
      <c r="J16" s="370"/>
      <c r="K16" s="370"/>
      <c r="L16" s="370"/>
      <c r="M16" s="379"/>
      <c r="N16" s="377"/>
    </row>
    <row r="17" spans="1:14" ht="15" customHeight="1" x14ac:dyDescent="0.2">
      <c r="A17" s="38" t="s">
        <v>119</v>
      </c>
      <c r="B17" s="357" t="str">
        <f ca="1">CONCATENATE(WORLDCUP!AA45,"-",WORLDCUP!AF45)</f>
        <v>Sweden-Tunisia</v>
      </c>
      <c r="C17" s="349" t="str">
        <f>CONCATENATE(IF(WORLDCUP!AC45&gt;WORLDCUP!AD45,1,IF(WORLDCUP!AC45&lt;WORLDCUP!AD45,2,IF(AND(WORLDCUP!AC45=WORLDCUP!AD45,WORLDCUP!AC45&lt;&gt;"",WORLDCUP!AD45&lt;&gt;""),"X",0))),"|",WORLDCUP!AC45,"-",WORLDCUP!AD45)</f>
        <v>0|-</v>
      </c>
      <c r="D17" s="693"/>
      <c r="E17" s="370"/>
      <c r="F17" s="370"/>
      <c r="G17" s="370"/>
      <c r="H17" s="370"/>
      <c r="I17" s="381"/>
      <c r="J17" s="370"/>
      <c r="K17" s="370"/>
      <c r="L17" s="370"/>
      <c r="M17" s="379"/>
      <c r="N17" s="377"/>
    </row>
    <row r="18" spans="1:14" ht="15" customHeight="1" x14ac:dyDescent="0.2">
      <c r="A18" s="355" t="s">
        <v>520</v>
      </c>
      <c r="B18" s="356" t="str">
        <f ca="1">CONCATENATE(WORLDCUP!AA52,"-",WORLDCUP!AF52)</f>
        <v>Belgium-Egypt</v>
      </c>
      <c r="C18" s="349" t="str">
        <f>CONCATENATE(IF(WORLDCUP!AC52&gt;WORLDCUP!AD52,1,IF(WORLDCUP!AC52&lt;WORLDCUP!AD52,2,IF(AND(WORLDCUP!AC52=WORLDCUP!AD52,WORLDCUP!AC52&lt;&gt;"",WORLDCUP!AD52&lt;&gt;""),"X",0))),"|",WORLDCUP!AC52,"-",WORLDCUP!AD52)</f>
        <v>0|-</v>
      </c>
      <c r="D18" s="693"/>
      <c r="E18" s="370"/>
      <c r="F18" s="370"/>
      <c r="G18" s="370"/>
      <c r="H18" s="370"/>
      <c r="I18" s="381"/>
      <c r="J18" s="370"/>
      <c r="K18" s="370"/>
      <c r="L18" s="370"/>
      <c r="M18" s="379"/>
      <c r="N18" s="377"/>
    </row>
    <row r="19" spans="1:14" ht="15" customHeight="1" x14ac:dyDescent="0.2">
      <c r="A19" s="355" t="s">
        <v>520</v>
      </c>
      <c r="B19" s="356" t="str">
        <f ca="1">CONCATENATE(WORLDCUP!AA53,"-",WORLDCUP!AF53)</f>
        <v>Iran-New Zealand</v>
      </c>
      <c r="C19" s="349" t="str">
        <f>CONCATENATE(IF(WORLDCUP!AC53&gt;WORLDCUP!AD53,1,IF(WORLDCUP!AC53&lt;WORLDCUP!AD53,2,IF(AND(WORLDCUP!AC53=WORLDCUP!AD53,WORLDCUP!AC53&lt;&gt;"",WORLDCUP!AD53&lt;&gt;""),"X",0))),"|",WORLDCUP!AC53,"-",WORLDCUP!AD53)</f>
        <v>0|-</v>
      </c>
      <c r="D19" s="693"/>
      <c r="E19" s="370"/>
      <c r="F19" s="370"/>
      <c r="G19" s="370"/>
      <c r="H19" s="370"/>
      <c r="I19" s="381"/>
      <c r="J19" s="370"/>
      <c r="K19" s="370"/>
      <c r="L19" s="370"/>
      <c r="M19" s="379"/>
      <c r="N19" s="377"/>
    </row>
    <row r="20" spans="1:14" ht="15" customHeight="1" x14ac:dyDescent="0.2">
      <c r="A20" s="38" t="s">
        <v>522</v>
      </c>
      <c r="B20" s="357" t="str">
        <f ca="1">CONCATENATE(WORLDCUP!AA60,"-",WORLDCUP!AF60)</f>
        <v>Spain-Cape Verde</v>
      </c>
      <c r="C20" s="349" t="str">
        <f>CONCATENATE(IF(WORLDCUP!AC60&gt;WORLDCUP!AD60,1,IF(WORLDCUP!AC60&lt;WORLDCUP!AD60,2,IF(AND(WORLDCUP!AC60=WORLDCUP!AD60,WORLDCUP!AC60&lt;&gt;"",WORLDCUP!AD60&lt;&gt;""),"X",0))),"|",WORLDCUP!AC60,"-",WORLDCUP!AD60)</f>
        <v>0|-</v>
      </c>
      <c r="D20" s="693"/>
      <c r="E20" s="370"/>
      <c r="F20" s="370"/>
      <c r="G20" s="370"/>
      <c r="H20" s="370"/>
      <c r="I20" s="381"/>
      <c r="J20" s="370"/>
      <c r="K20" s="370"/>
      <c r="L20" s="370"/>
      <c r="M20" s="379"/>
      <c r="N20" s="377"/>
    </row>
    <row r="21" spans="1:14" ht="15" customHeight="1" x14ac:dyDescent="0.2">
      <c r="A21" s="38" t="s">
        <v>522</v>
      </c>
      <c r="B21" s="357" t="str">
        <f ca="1">CONCATENATE(WORLDCUP!AA61,"-",WORLDCUP!AF61)</f>
        <v>Saudi Arabia-Uruguay</v>
      </c>
      <c r="C21" s="349" t="str">
        <f>CONCATENATE(IF(WORLDCUP!AC61&gt;WORLDCUP!AD61,1,IF(WORLDCUP!AC61&lt;WORLDCUP!AD61,2,IF(AND(WORLDCUP!AC61=WORLDCUP!AD61,WORLDCUP!AC61&lt;&gt;"",WORLDCUP!AD61&lt;&gt;""),"X",0))),"|",WORLDCUP!AC61,"-",WORLDCUP!AD61)</f>
        <v>0|-</v>
      </c>
      <c r="D21" s="693"/>
      <c r="E21" s="370"/>
      <c r="F21" s="370"/>
      <c r="G21" s="370"/>
      <c r="H21" s="370"/>
      <c r="I21" s="381"/>
      <c r="J21" s="370"/>
      <c r="K21" s="370"/>
      <c r="L21" s="370"/>
      <c r="M21" s="379"/>
      <c r="N21" s="377"/>
    </row>
    <row r="22" spans="1:14" ht="15" customHeight="1" x14ac:dyDescent="0.2">
      <c r="A22" s="355" t="s">
        <v>181</v>
      </c>
      <c r="B22" s="356" t="str">
        <f ca="1">CONCATENATE(WORLDCUP!AA68,"-",WORLDCUP!AF68)</f>
        <v>France-Senegal</v>
      </c>
      <c r="C22" s="349" t="str">
        <f>CONCATENATE(IF(WORLDCUP!AC68&gt;WORLDCUP!AD68,1,IF(WORLDCUP!AC68&lt;WORLDCUP!AD68,2,IF(AND(WORLDCUP!AC68=WORLDCUP!AD68,WORLDCUP!AC68&lt;&gt;"",WORLDCUP!AD68&lt;&gt;""),"X",0))),"|",WORLDCUP!AC68,"-",WORLDCUP!AD68)</f>
        <v>0|-</v>
      </c>
      <c r="D22" s="693"/>
      <c r="E22" s="370"/>
      <c r="F22" s="370"/>
      <c r="G22" s="370"/>
      <c r="H22" s="370"/>
      <c r="I22" s="381"/>
      <c r="J22" s="370"/>
      <c r="K22" s="370"/>
      <c r="L22" s="370"/>
      <c r="M22" s="379"/>
      <c r="N22" s="377"/>
    </row>
    <row r="23" spans="1:14" ht="15" customHeight="1" x14ac:dyDescent="0.2">
      <c r="A23" s="355" t="s">
        <v>181</v>
      </c>
      <c r="B23" s="356" t="str">
        <f ca="1">CONCATENATE(WORLDCUP!AA69,"-",WORLDCUP!AF69)</f>
        <v>Iraq-Norway</v>
      </c>
      <c r="C23" s="349" t="str">
        <f>CONCATENATE(IF(WORLDCUP!AC69&gt;WORLDCUP!AD69,1,IF(WORLDCUP!AC69&lt;WORLDCUP!AD69,2,IF(AND(WORLDCUP!AC69=WORLDCUP!AD69,WORLDCUP!AC69&lt;&gt;"",WORLDCUP!AD69&lt;&gt;""),"X",0))),"|",WORLDCUP!AC69,"-",WORLDCUP!AD69)</f>
        <v>0|-</v>
      </c>
      <c r="D23" s="693"/>
      <c r="E23" s="370"/>
      <c r="F23" s="370"/>
      <c r="G23" s="370"/>
      <c r="H23" s="370"/>
      <c r="I23" s="381"/>
      <c r="J23" s="370"/>
      <c r="K23" s="370"/>
      <c r="L23" s="370"/>
      <c r="M23" s="379"/>
      <c r="N23" s="377"/>
    </row>
    <row r="24" spans="1:14" ht="15" customHeight="1" x14ac:dyDescent="0.2">
      <c r="A24" s="38" t="s">
        <v>28</v>
      </c>
      <c r="B24" s="357" t="str">
        <f ca="1">CONCATENATE(WORLDCUP!AA76,"-",WORLDCUP!AF76)</f>
        <v>Argentina-Algeria</v>
      </c>
      <c r="C24" s="349" t="str">
        <f>CONCATENATE(IF(WORLDCUP!AC76&gt;WORLDCUP!AD76,1,IF(WORLDCUP!AC76&lt;WORLDCUP!AD76,2,IF(AND(WORLDCUP!AC76=WORLDCUP!AD76,WORLDCUP!AC76&lt;&gt;"",WORLDCUP!AD76&lt;&gt;""),"X",0))),"|",WORLDCUP!AC76,"-",WORLDCUP!AD76)</f>
        <v>0|-</v>
      </c>
      <c r="D24" s="693"/>
      <c r="E24" s="370"/>
      <c r="F24" s="370"/>
      <c r="G24" s="370"/>
      <c r="H24" s="370"/>
      <c r="I24" s="381"/>
      <c r="J24" s="370"/>
      <c r="K24" s="370"/>
      <c r="L24" s="370"/>
      <c r="M24" s="379"/>
      <c r="N24" s="377"/>
    </row>
    <row r="25" spans="1:14" ht="15" customHeight="1" x14ac:dyDescent="0.2">
      <c r="A25" s="38" t="s">
        <v>28</v>
      </c>
      <c r="B25" s="357" t="str">
        <f ca="1">CONCATENATE(WORLDCUP!AA77,"-",WORLDCUP!AF77)</f>
        <v>Austria-Jordan</v>
      </c>
      <c r="C25" s="349" t="str">
        <f>CONCATENATE(IF(WORLDCUP!AC77&gt;WORLDCUP!AD77,1,IF(WORLDCUP!AC77&lt;WORLDCUP!AD77,2,IF(AND(WORLDCUP!AC77=WORLDCUP!AD77,WORLDCUP!AC77&lt;&gt;"",WORLDCUP!AD77&lt;&gt;""),"X",0))),"|",WORLDCUP!AC77,"-",WORLDCUP!AD77)</f>
        <v>0|-</v>
      </c>
      <c r="D25" s="693"/>
      <c r="E25" s="370"/>
      <c r="F25" s="370"/>
      <c r="G25" s="370"/>
      <c r="H25" s="370"/>
      <c r="I25" s="381"/>
      <c r="J25" s="370"/>
      <c r="K25" s="370"/>
      <c r="L25" s="370"/>
      <c r="M25" s="379"/>
      <c r="N25" s="377"/>
    </row>
    <row r="26" spans="1:14" ht="15" customHeight="1" x14ac:dyDescent="0.2">
      <c r="A26" s="355" t="s">
        <v>525</v>
      </c>
      <c r="B26" s="356" t="str">
        <f ca="1">CONCATENATE(WORLDCUP!AA84,"-",WORLDCUP!AF84)</f>
        <v>Portugal-DR Congo</v>
      </c>
      <c r="C26" s="349" t="str">
        <f>CONCATENATE(IF(WORLDCUP!AC84&gt;WORLDCUP!AD84,1,IF(WORLDCUP!AC84&lt;WORLDCUP!AD84,2,IF(AND(WORLDCUP!AC84=WORLDCUP!AD84,WORLDCUP!AC84&lt;&gt;"",WORLDCUP!AD84&lt;&gt;""),"X",0))),"|",WORLDCUP!AC84,"-",WORLDCUP!AD84)</f>
        <v>0|-</v>
      </c>
      <c r="D26" s="693"/>
      <c r="E26" s="370"/>
      <c r="F26" s="370"/>
      <c r="G26" s="370"/>
      <c r="H26" s="370"/>
      <c r="I26" s="381"/>
      <c r="J26" s="370"/>
      <c r="K26" s="370"/>
      <c r="L26" s="370"/>
      <c r="M26" s="379"/>
      <c r="N26" s="377"/>
    </row>
    <row r="27" spans="1:14" ht="15" customHeight="1" x14ac:dyDescent="0.2">
      <c r="A27" s="355" t="s">
        <v>525</v>
      </c>
      <c r="B27" s="356" t="str">
        <f ca="1">CONCATENATE(WORLDCUP!AA85,"-",WORLDCUP!AF85)</f>
        <v>Uzbekistan-Colombia</v>
      </c>
      <c r="C27" s="349" t="str">
        <f>CONCATENATE(IF(WORLDCUP!AC85&gt;WORLDCUP!AD85,1,IF(WORLDCUP!AC85&lt;WORLDCUP!AD85,2,IF(AND(WORLDCUP!AC85=WORLDCUP!AD85,WORLDCUP!AC85&lt;&gt;"",WORLDCUP!AD85&lt;&gt;""),"X",0))),"|",WORLDCUP!AC85,"-",WORLDCUP!AD85)</f>
        <v>0|-</v>
      </c>
      <c r="D27" s="693"/>
      <c r="E27" s="370"/>
      <c r="F27" s="370"/>
      <c r="G27" s="370"/>
      <c r="H27" s="370"/>
      <c r="I27" s="381"/>
      <c r="J27" s="370"/>
      <c r="K27" s="370"/>
      <c r="L27" s="370"/>
      <c r="M27" s="379"/>
      <c r="N27" s="377"/>
    </row>
    <row r="28" spans="1:14" ht="15" customHeight="1" x14ac:dyDescent="0.2">
      <c r="A28" s="38" t="s">
        <v>1209</v>
      </c>
      <c r="B28" s="357" t="str">
        <f ca="1">CONCATENATE(WORLDCUP!AA92,"-",WORLDCUP!AF92)</f>
        <v>England-Croatia</v>
      </c>
      <c r="C28" s="349" t="str">
        <f>CONCATENATE(IF(WORLDCUP!AC92&gt;WORLDCUP!AD92,1,IF(WORLDCUP!AC92&lt;WORLDCUP!AD92,2,IF(AND(WORLDCUP!AC92=WORLDCUP!AD92,WORLDCUP!AC92&lt;&gt;"",WORLDCUP!AD92&lt;&gt;""),"X",0))),"|",WORLDCUP!AC92,"-",WORLDCUP!AD92)</f>
        <v>0|-</v>
      </c>
      <c r="D28" s="693"/>
      <c r="E28" s="370"/>
      <c r="F28" s="370"/>
      <c r="G28" s="370"/>
      <c r="H28" s="370"/>
      <c r="I28" s="381"/>
      <c r="J28" s="370"/>
      <c r="K28" s="370"/>
      <c r="L28" s="370"/>
      <c r="M28" s="379"/>
      <c r="N28" s="377"/>
    </row>
    <row r="29" spans="1:14" ht="15" customHeight="1" x14ac:dyDescent="0.2">
      <c r="A29" s="38" t="s">
        <v>1209</v>
      </c>
      <c r="B29" s="357" t="str">
        <f ca="1">CONCATENATE(WORLDCUP!AA93,"-",WORLDCUP!AF93)</f>
        <v>Ghana-Panama</v>
      </c>
      <c r="C29" s="349" t="str">
        <f>CONCATENATE(IF(WORLDCUP!AC93&gt;WORLDCUP!AD93,1,IF(WORLDCUP!AC93&lt;WORLDCUP!AD93,2,IF(AND(WORLDCUP!AC93=WORLDCUP!AD93,WORLDCUP!AC93&lt;&gt;"",WORLDCUP!AD93&lt;&gt;""),"X",0))),"|",WORLDCUP!AC93,"-",WORLDCUP!AD93)</f>
        <v>0|-</v>
      </c>
      <c r="D29" s="694"/>
      <c r="E29" s="372"/>
      <c r="F29" s="372"/>
      <c r="G29" s="372"/>
      <c r="H29" s="372"/>
      <c r="I29" s="381"/>
      <c r="J29" s="370"/>
      <c r="K29" s="370"/>
      <c r="L29" s="370"/>
      <c r="M29" s="379"/>
      <c r="N29" s="377"/>
    </row>
    <row r="30" spans="1:14" ht="15" customHeight="1" x14ac:dyDescent="0.2">
      <c r="A30" s="355" t="s">
        <v>120</v>
      </c>
      <c r="B30" s="356" t="str">
        <f ca="1">CONCATENATE(WORLDCUP!AA6,"-",WORLDCUP!AF6)</f>
        <v>Czech Republic-South Africa</v>
      </c>
      <c r="C30" s="349" t="str">
        <f>CONCATENATE(IF(WORLDCUP!AC6&gt;WORLDCUP!AD6,1,IF(WORLDCUP!AC6&lt;WORLDCUP!AD6,2,IF(AND(WORLDCUP!AC6=WORLDCUP!AD6,WORLDCUP!AC6&lt;&gt;"",WORLDCUP!AD6&lt;&gt;""),"X",0))),"|",WORLDCUP!AC6,"-",WORLDCUP!AD6)</f>
        <v>0|-</v>
      </c>
      <c r="D30" s="695" t="str">
        <f>Idiomas!D123</f>
        <v>R2</v>
      </c>
      <c r="E30" s="699" t="str">
        <f>Idiomas!D111</f>
        <v>·For the 2nd Round copy from C30 to C53 an paste as values in the Administrator Pool.</v>
      </c>
      <c r="F30" s="699"/>
      <c r="G30" s="699"/>
      <c r="H30" s="699"/>
      <c r="I30" s="380"/>
      <c r="J30" s="370"/>
      <c r="K30" s="370"/>
      <c r="L30" s="370"/>
      <c r="M30" s="379"/>
      <c r="N30" s="377"/>
    </row>
    <row r="31" spans="1:14" ht="15" customHeight="1" x14ac:dyDescent="0.2">
      <c r="A31" s="355" t="s">
        <v>120</v>
      </c>
      <c r="B31" s="356" t="str">
        <f ca="1">CONCATENATE(WORLDCUP!AA7,"-",WORLDCUP!AF7)</f>
        <v>Mexico-South Korea</v>
      </c>
      <c r="C31" s="349" t="str">
        <f>CONCATENATE(IF(WORLDCUP!AC7&gt;WORLDCUP!AD7,1,IF(WORLDCUP!AC7&lt;WORLDCUP!AD7,2,IF(AND(WORLDCUP!AC7=WORLDCUP!AD7,WORLDCUP!AC7&lt;&gt;"",WORLDCUP!AD7&lt;&gt;""),"X",0))),"|",WORLDCUP!AC7,"-",WORLDCUP!AD7)</f>
        <v>0|-</v>
      </c>
      <c r="D31" s="695"/>
      <c r="E31" s="685"/>
      <c r="F31" s="685"/>
      <c r="G31" s="685"/>
      <c r="H31" s="685"/>
      <c r="I31" s="381"/>
      <c r="J31" s="370"/>
      <c r="K31" s="370"/>
      <c r="L31" s="370"/>
      <c r="M31" s="379"/>
      <c r="N31" s="377"/>
    </row>
    <row r="32" spans="1:14" ht="15" customHeight="1" x14ac:dyDescent="0.2">
      <c r="A32" s="38" t="s">
        <v>121</v>
      </c>
      <c r="B32" s="357" t="str">
        <f ca="1">CONCATENATE(WORLDCUP!AA14,"-",WORLDCUP!AF14)</f>
        <v>Switzerland-Bosnia and Herzegovina</v>
      </c>
      <c r="C32" s="349" t="str">
        <f>CONCATENATE(IF(WORLDCUP!AC14&gt;WORLDCUP!AD14,1,IF(WORLDCUP!AC14&lt;WORLDCUP!AD14,2,IF(AND(WORLDCUP!AC14=WORLDCUP!AD14,WORLDCUP!AC14&lt;&gt;"",WORLDCUP!AD14&lt;&gt;""),"X",0))),"|",WORLDCUP!AC14,"-",WORLDCUP!AD14)</f>
        <v>0|-</v>
      </c>
      <c r="D32" s="695"/>
      <c r="E32" s="685"/>
      <c r="F32" s="685"/>
      <c r="G32" s="685"/>
      <c r="H32" s="685"/>
      <c r="I32" s="381"/>
      <c r="J32" s="370"/>
      <c r="K32" s="370"/>
      <c r="L32" s="370"/>
      <c r="M32" s="379"/>
      <c r="N32" s="377"/>
    </row>
    <row r="33" spans="1:14" ht="15" customHeight="1" x14ac:dyDescent="0.2">
      <c r="A33" s="38" t="s">
        <v>121</v>
      </c>
      <c r="B33" s="357" t="str">
        <f ca="1">CONCATENATE(WORLDCUP!AA15,"-",WORLDCUP!AF15)</f>
        <v>Canada-Qatar</v>
      </c>
      <c r="C33" s="349" t="str">
        <f>CONCATENATE(IF(WORLDCUP!AC15&gt;WORLDCUP!AD15,1,IF(WORLDCUP!AC15&lt;WORLDCUP!AD15,2,IF(AND(WORLDCUP!AC15=WORLDCUP!AD15,WORLDCUP!AC15&lt;&gt;"",WORLDCUP!AD15&lt;&gt;""),"X",0))),"|",WORLDCUP!AC15,"-",WORLDCUP!AD15)</f>
        <v>0|-</v>
      </c>
      <c r="D33" s="695"/>
      <c r="E33" s="685"/>
      <c r="F33" s="685"/>
      <c r="G33" s="685"/>
      <c r="H33" s="685"/>
      <c r="I33" s="381"/>
      <c r="J33" s="370"/>
      <c r="K33" s="370"/>
      <c r="L33" s="370"/>
      <c r="M33" s="379"/>
      <c r="N33" s="377"/>
    </row>
    <row r="34" spans="1:14" ht="15" customHeight="1" x14ac:dyDescent="0.2">
      <c r="A34" s="355" t="s">
        <v>122</v>
      </c>
      <c r="B34" s="356" t="str">
        <f ca="1">CONCATENATE(WORLDCUP!AA22,"-",WORLDCUP!AF22)</f>
        <v>Scotland-Morocco</v>
      </c>
      <c r="C34" s="349" t="str">
        <f>CONCATENATE(IF(WORLDCUP!AC22&gt;WORLDCUP!AD22,1,IF(WORLDCUP!AC22&lt;WORLDCUP!AD22,2,IF(AND(WORLDCUP!AC22=WORLDCUP!AD22,WORLDCUP!AC22&lt;&gt;"",WORLDCUP!AD22&lt;&gt;""),"X",0))),"|",WORLDCUP!AC22,"-",WORLDCUP!AD22)</f>
        <v>0|-</v>
      </c>
      <c r="D34" s="695"/>
      <c r="E34" s="370"/>
      <c r="F34" s="370"/>
      <c r="G34" s="370"/>
      <c r="H34" s="370"/>
      <c r="I34" s="381"/>
      <c r="J34" s="370"/>
      <c r="K34" s="370"/>
      <c r="L34" s="370"/>
      <c r="M34" s="379"/>
      <c r="N34" s="377"/>
    </row>
    <row r="35" spans="1:14" ht="15" customHeight="1" x14ac:dyDescent="0.2">
      <c r="A35" s="355" t="s">
        <v>122</v>
      </c>
      <c r="B35" s="356" t="str">
        <f ca="1">CONCATENATE(WORLDCUP!AA23,"-",WORLDCUP!AF23)</f>
        <v>Brazil-Haiti</v>
      </c>
      <c r="C35" s="349" t="str">
        <f>CONCATENATE(IF(WORLDCUP!AC23&gt;WORLDCUP!AD23,1,IF(WORLDCUP!AC23&lt;WORLDCUP!AD23,2,IF(AND(WORLDCUP!AC23=WORLDCUP!AD23,WORLDCUP!AC23&lt;&gt;"",WORLDCUP!AD23&lt;&gt;""),"X",0))),"|",WORLDCUP!AC23,"-",WORLDCUP!AD23)</f>
        <v>0|-</v>
      </c>
      <c r="D35" s="695"/>
      <c r="E35" s="370"/>
      <c r="F35" s="370"/>
      <c r="G35" s="370"/>
      <c r="H35" s="370"/>
      <c r="I35" s="381"/>
      <c r="J35" s="370"/>
      <c r="K35" s="370"/>
      <c r="L35" s="370"/>
      <c r="M35" s="379"/>
      <c r="N35" s="377"/>
    </row>
    <row r="36" spans="1:14" ht="15" customHeight="1" x14ac:dyDescent="0.2">
      <c r="A36" s="38" t="s">
        <v>123</v>
      </c>
      <c r="B36" s="357" t="str">
        <f ca="1">CONCATENATE(WORLDCUP!AA30,"-",WORLDCUP!AF30)</f>
        <v>United States-Australia</v>
      </c>
      <c r="C36" s="349" t="str">
        <f>CONCATENATE(IF(WORLDCUP!AC30&gt;WORLDCUP!AD30,1,IF(WORLDCUP!AC30&lt;WORLDCUP!AD30,2,IF(AND(WORLDCUP!AC30=WORLDCUP!AD30,WORLDCUP!AC30&lt;&gt;"",WORLDCUP!AD30&lt;&gt;""),"X",0))),"|",WORLDCUP!AC30,"-",WORLDCUP!AD30)</f>
        <v>0|-</v>
      </c>
      <c r="D36" s="695"/>
      <c r="E36" s="370"/>
      <c r="F36" s="370"/>
      <c r="G36" s="370"/>
      <c r="H36" s="370"/>
      <c r="I36" s="381"/>
      <c r="J36" s="370"/>
      <c r="K36" s="370"/>
      <c r="L36" s="370"/>
      <c r="M36" s="379"/>
      <c r="N36" s="377"/>
    </row>
    <row r="37" spans="1:14" ht="15" customHeight="1" x14ac:dyDescent="0.2">
      <c r="A37" s="38" t="s">
        <v>123</v>
      </c>
      <c r="B37" s="357" t="str">
        <f ca="1">CONCATENATE(WORLDCUP!AA31,"-",WORLDCUP!AF31)</f>
        <v>Turkey-Paraguay</v>
      </c>
      <c r="C37" s="349" t="str">
        <f>CONCATENATE(IF(WORLDCUP!AC31&gt;WORLDCUP!AD31,1,IF(WORLDCUP!AC31&lt;WORLDCUP!AD31,2,IF(AND(WORLDCUP!AC31=WORLDCUP!AD31,WORLDCUP!AC31&lt;&gt;"",WORLDCUP!AD31&lt;&gt;""),"X",0))),"|",WORLDCUP!AC31,"-",WORLDCUP!AD31)</f>
        <v>0|-</v>
      </c>
      <c r="D37" s="695"/>
      <c r="E37" s="370"/>
      <c r="F37" s="370"/>
      <c r="G37" s="370"/>
      <c r="H37" s="370"/>
      <c r="I37" s="381"/>
      <c r="J37" s="370"/>
      <c r="K37" s="370"/>
      <c r="L37" s="370"/>
      <c r="M37" s="379"/>
      <c r="N37" s="377"/>
    </row>
    <row r="38" spans="1:14" ht="15" customHeight="1" x14ac:dyDescent="0.2">
      <c r="A38" s="355" t="s">
        <v>124</v>
      </c>
      <c r="B38" s="356" t="str">
        <f ca="1">CONCATENATE(WORLDCUP!AA38,"-",WORLDCUP!AF38)</f>
        <v>Germany-Ivory Coast</v>
      </c>
      <c r="C38" s="349" t="str">
        <f>CONCATENATE(IF(WORLDCUP!AC38&gt;WORLDCUP!AD38,1,IF(WORLDCUP!AC38&lt;WORLDCUP!AD38,2,IF(AND(WORLDCUP!AC38=WORLDCUP!AD38,WORLDCUP!AC38&lt;&gt;"",WORLDCUP!AD38&lt;&gt;""),"X",0))),"|",WORLDCUP!AC38,"-",WORLDCUP!AD38)</f>
        <v>0|-</v>
      </c>
      <c r="D38" s="695"/>
      <c r="E38" s="370"/>
      <c r="F38" s="370"/>
      <c r="G38" s="370"/>
      <c r="H38" s="370"/>
      <c r="I38" s="381"/>
      <c r="J38" s="370"/>
      <c r="K38" s="370"/>
      <c r="L38" s="370"/>
      <c r="M38" s="379"/>
      <c r="N38" s="377"/>
    </row>
    <row r="39" spans="1:14" ht="15" customHeight="1" x14ac:dyDescent="0.2">
      <c r="A39" s="355" t="s">
        <v>124</v>
      </c>
      <c r="B39" s="356" t="str">
        <f ca="1">CONCATENATE(WORLDCUP!AA39,"-",WORLDCUP!AF39)</f>
        <v>Ecuador-Curaçao</v>
      </c>
      <c r="C39" s="349" t="str">
        <f>CONCATENATE(IF(WORLDCUP!AC39&gt;WORLDCUP!AD39,1,IF(WORLDCUP!AC39&lt;WORLDCUP!AD39,2,IF(AND(WORLDCUP!AC39=WORLDCUP!AD39,WORLDCUP!AC39&lt;&gt;"",WORLDCUP!AD39&lt;&gt;""),"X",0))),"|",WORLDCUP!AC39,"-",WORLDCUP!AD39)</f>
        <v>0|-</v>
      </c>
      <c r="D39" s="695"/>
      <c r="E39" s="370"/>
      <c r="F39" s="370"/>
      <c r="G39" s="370"/>
      <c r="H39" s="370"/>
      <c r="I39" s="381"/>
      <c r="J39" s="370"/>
      <c r="K39" s="370"/>
      <c r="L39" s="370"/>
      <c r="M39" s="379"/>
      <c r="N39" s="377"/>
    </row>
    <row r="40" spans="1:14" ht="15" customHeight="1" x14ac:dyDescent="0.2">
      <c r="A40" s="38" t="s">
        <v>125</v>
      </c>
      <c r="B40" s="357" t="str">
        <f ca="1">CONCATENATE(WORLDCUP!AA46,"-",WORLDCUP!AF46)</f>
        <v>Netherlands-Sweden</v>
      </c>
      <c r="C40" s="349" t="str">
        <f>CONCATENATE(IF(WORLDCUP!AC46&gt;WORLDCUP!AD46,1,IF(WORLDCUP!AC46&lt;WORLDCUP!AD46,2,IF(AND(WORLDCUP!AC46=WORLDCUP!AD46,WORLDCUP!AC46&lt;&gt;"",WORLDCUP!AD46&lt;&gt;""),"X",0))),"|",WORLDCUP!AC46,"-",WORLDCUP!AD46)</f>
        <v>0|-</v>
      </c>
      <c r="D40" s="695"/>
      <c r="E40" s="370"/>
      <c r="F40" s="370"/>
      <c r="G40" s="370"/>
      <c r="H40" s="370"/>
      <c r="I40" s="381"/>
      <c r="J40" s="370"/>
      <c r="K40" s="370"/>
      <c r="L40" s="370"/>
      <c r="M40" s="379"/>
      <c r="N40" s="377"/>
    </row>
    <row r="41" spans="1:14" ht="15" customHeight="1" x14ac:dyDescent="0.2">
      <c r="A41" s="38" t="s">
        <v>125</v>
      </c>
      <c r="B41" s="357" t="str">
        <f ca="1">CONCATENATE(WORLDCUP!AA47,"-",WORLDCUP!AF47)</f>
        <v>Tunisia-Japan</v>
      </c>
      <c r="C41" s="349" t="str">
        <f>CONCATENATE(IF(WORLDCUP!AC47&gt;WORLDCUP!AD47,1,IF(WORLDCUP!AC47&lt;WORLDCUP!AD47,2,IF(AND(WORLDCUP!AC47=WORLDCUP!AD47,WORLDCUP!AC47&lt;&gt;"",WORLDCUP!AD47&lt;&gt;""),"X",0))),"|",WORLDCUP!AC47,"-",WORLDCUP!AD47)</f>
        <v>0|-</v>
      </c>
      <c r="D41" s="695"/>
      <c r="E41" s="370"/>
      <c r="F41" s="370"/>
      <c r="G41" s="370"/>
      <c r="H41" s="370"/>
      <c r="I41" s="381"/>
      <c r="J41" s="370"/>
      <c r="K41" s="370"/>
      <c r="L41" s="370"/>
      <c r="M41" s="379"/>
      <c r="N41" s="377"/>
    </row>
    <row r="42" spans="1:14" ht="15" customHeight="1" x14ac:dyDescent="0.2">
      <c r="A42" s="355" t="s">
        <v>521</v>
      </c>
      <c r="B42" s="356" t="str">
        <f ca="1">CONCATENATE(WORLDCUP!AA54,"-",WORLDCUP!AF54)</f>
        <v>Belgium-Iran</v>
      </c>
      <c r="C42" s="349" t="str">
        <f>CONCATENATE(IF(WORLDCUP!AC54&gt;WORLDCUP!AD54,1,IF(WORLDCUP!AC54&lt;WORLDCUP!AD54,2,IF(AND(WORLDCUP!AC54=WORLDCUP!AD54,WORLDCUP!AC54&lt;&gt;"",WORLDCUP!AD54&lt;&gt;""),"X",0))),"|",WORLDCUP!AC54,"-",WORLDCUP!AD54)</f>
        <v>0|-</v>
      </c>
      <c r="D42" s="695"/>
      <c r="E42" s="370"/>
      <c r="F42" s="370"/>
      <c r="G42" s="370"/>
      <c r="H42" s="370"/>
      <c r="I42" s="381"/>
      <c r="J42" s="370"/>
      <c r="K42" s="370"/>
      <c r="L42" s="370"/>
      <c r="M42" s="379"/>
      <c r="N42" s="377"/>
    </row>
    <row r="43" spans="1:14" ht="15" customHeight="1" x14ac:dyDescent="0.2">
      <c r="A43" s="355" t="s">
        <v>521</v>
      </c>
      <c r="B43" s="356" t="str">
        <f ca="1">CONCATENATE(WORLDCUP!AA55,"-",WORLDCUP!AF55)</f>
        <v>New Zealand-Egypt</v>
      </c>
      <c r="C43" s="349" t="str">
        <f>CONCATENATE(IF(WORLDCUP!AC55&gt;WORLDCUP!AD55,1,IF(WORLDCUP!AC55&lt;WORLDCUP!AD55,2,IF(AND(WORLDCUP!AC55=WORLDCUP!AD55,WORLDCUP!AC55&lt;&gt;"",WORLDCUP!AD55&lt;&gt;""),"X",0))),"|",WORLDCUP!AC55,"-",WORLDCUP!AD55)</f>
        <v>0|-</v>
      </c>
      <c r="D43" s="695"/>
      <c r="E43" s="370"/>
      <c r="F43" s="370"/>
      <c r="G43" s="370"/>
      <c r="H43" s="370"/>
      <c r="I43" s="381"/>
      <c r="J43" s="370"/>
      <c r="K43" s="370"/>
      <c r="L43" s="370"/>
      <c r="M43" s="379"/>
      <c r="N43" s="377"/>
    </row>
    <row r="44" spans="1:14" ht="15" customHeight="1" x14ac:dyDescent="0.2">
      <c r="A44" s="38" t="s">
        <v>523</v>
      </c>
      <c r="B44" s="357" t="str">
        <f ca="1">CONCATENATE(WORLDCUP!AA62,"-",WORLDCUP!AF62)</f>
        <v>Spain-Saudi Arabia</v>
      </c>
      <c r="C44" s="349" t="str">
        <f>CONCATENATE(IF(WORLDCUP!AC62&gt;WORLDCUP!AD62,1,IF(WORLDCUP!AC62&lt;WORLDCUP!AD62,2,IF(AND(WORLDCUP!AC62=WORLDCUP!AD62,WORLDCUP!AC62&lt;&gt;"",WORLDCUP!AD62&lt;&gt;""),"X",0))),"|",WORLDCUP!AC62,"-",WORLDCUP!AD62)</f>
        <v>0|-</v>
      </c>
      <c r="D44" s="695"/>
      <c r="E44" s="370"/>
      <c r="F44" s="370"/>
      <c r="G44" s="370"/>
      <c r="H44" s="370"/>
      <c r="I44" s="381"/>
      <c r="J44" s="370"/>
      <c r="K44" s="370"/>
      <c r="L44" s="370"/>
      <c r="M44" s="379"/>
      <c r="N44" s="377"/>
    </row>
    <row r="45" spans="1:14" ht="15" customHeight="1" x14ac:dyDescent="0.2">
      <c r="A45" s="38" t="s">
        <v>523</v>
      </c>
      <c r="B45" s="357" t="str">
        <f ca="1">CONCATENATE(WORLDCUP!AA63,"-",WORLDCUP!AF63)</f>
        <v>Uruguay-Cape Verde</v>
      </c>
      <c r="C45" s="349" t="str">
        <f>CONCATENATE(IF(WORLDCUP!AC63&gt;WORLDCUP!AD63,1,IF(WORLDCUP!AC63&lt;WORLDCUP!AD63,2,IF(AND(WORLDCUP!AC63=WORLDCUP!AD63,WORLDCUP!AC63&lt;&gt;"",WORLDCUP!AD63&lt;&gt;""),"X",0))),"|",WORLDCUP!AC63,"-",WORLDCUP!AD63)</f>
        <v>0|-</v>
      </c>
      <c r="D45" s="695"/>
      <c r="E45" s="370"/>
      <c r="F45" s="370"/>
      <c r="G45" s="370"/>
      <c r="H45" s="370"/>
      <c r="I45" s="381"/>
      <c r="J45" s="370"/>
      <c r="K45" s="370"/>
      <c r="L45" s="370"/>
      <c r="M45" s="379"/>
      <c r="N45" s="377"/>
    </row>
    <row r="46" spans="1:14" ht="15" customHeight="1" x14ac:dyDescent="0.2">
      <c r="A46" s="355" t="s">
        <v>524</v>
      </c>
      <c r="B46" s="356" t="str">
        <f ca="1">CONCATENATE(WORLDCUP!AA70,"-",WORLDCUP!AF70)</f>
        <v>France-Iraq</v>
      </c>
      <c r="C46" s="349" t="str">
        <f>CONCATENATE(IF(WORLDCUP!AC70&gt;WORLDCUP!AD70,1,IF(WORLDCUP!AC70&lt;WORLDCUP!AD70,2,IF(AND(WORLDCUP!AC70=WORLDCUP!AD70,WORLDCUP!AC70&lt;&gt;"",WORLDCUP!AD70&lt;&gt;""),"X",0))),"|",WORLDCUP!AC70,"-",WORLDCUP!AD70)</f>
        <v>0|-</v>
      </c>
      <c r="D46" s="695"/>
      <c r="E46" s="370"/>
      <c r="F46" s="370"/>
      <c r="G46" s="370"/>
      <c r="H46" s="370"/>
      <c r="I46" s="381"/>
      <c r="J46" s="370"/>
      <c r="K46" s="370"/>
      <c r="L46" s="370"/>
      <c r="M46" s="379"/>
      <c r="N46" s="377"/>
    </row>
    <row r="47" spans="1:14" ht="15" customHeight="1" x14ac:dyDescent="0.2">
      <c r="A47" s="355" t="s">
        <v>524</v>
      </c>
      <c r="B47" s="356" t="str">
        <f ca="1">CONCATENATE(WORLDCUP!AA71,"-",WORLDCUP!AF71)</f>
        <v>Norway-Senegal</v>
      </c>
      <c r="C47" s="349" t="str">
        <f>CONCATENATE(IF(WORLDCUP!AC71&gt;WORLDCUP!AD71,1,IF(WORLDCUP!AC71&lt;WORLDCUP!AD71,2,IF(AND(WORLDCUP!AC71=WORLDCUP!AD71,WORLDCUP!AC71&lt;&gt;"",WORLDCUP!AD71&lt;&gt;""),"X",0))),"|",WORLDCUP!AC71,"-",WORLDCUP!AD71)</f>
        <v>0|-</v>
      </c>
      <c r="D47" s="695"/>
      <c r="E47" s="370"/>
      <c r="F47" s="370"/>
      <c r="G47" s="370"/>
      <c r="H47" s="370"/>
      <c r="I47" s="381"/>
      <c r="J47" s="370"/>
      <c r="K47" s="370"/>
      <c r="L47" s="370"/>
      <c r="M47" s="379"/>
      <c r="N47" s="377"/>
    </row>
    <row r="48" spans="1:14" ht="15" customHeight="1" x14ac:dyDescent="0.2">
      <c r="A48" s="38" t="s">
        <v>29</v>
      </c>
      <c r="B48" s="357" t="str">
        <f ca="1">CONCATENATE(WORLDCUP!AA78,"-",WORLDCUP!AF78)</f>
        <v>Argentina-Austria</v>
      </c>
      <c r="C48" s="349" t="str">
        <f>CONCATENATE(IF(WORLDCUP!AC78&gt;WORLDCUP!AD78,1,IF(WORLDCUP!AC78&lt;WORLDCUP!AD78,2,IF(AND(WORLDCUP!AC78=WORLDCUP!AD78,WORLDCUP!AC78&lt;&gt;"",WORLDCUP!AD78&lt;&gt;""),"X",0))),"|",WORLDCUP!AC78,"-",WORLDCUP!AD78)</f>
        <v>0|-</v>
      </c>
      <c r="D48" s="695"/>
      <c r="E48" s="370"/>
      <c r="F48" s="370"/>
      <c r="G48" s="370"/>
      <c r="H48" s="370"/>
      <c r="I48" s="381"/>
      <c r="J48" s="370"/>
      <c r="K48" s="370"/>
      <c r="L48" s="370"/>
      <c r="M48" s="379"/>
      <c r="N48" s="377"/>
    </row>
    <row r="49" spans="1:14" ht="15" customHeight="1" x14ac:dyDescent="0.2">
      <c r="A49" s="38" t="s">
        <v>29</v>
      </c>
      <c r="B49" s="357" t="str">
        <f ca="1">CONCATENATE(WORLDCUP!AA79,"-",WORLDCUP!AF79)</f>
        <v>Jordan-Algeria</v>
      </c>
      <c r="C49" s="349" t="str">
        <f>CONCATENATE(IF(WORLDCUP!AC79&gt;WORLDCUP!AD79,1,IF(WORLDCUP!AC79&lt;WORLDCUP!AD79,2,IF(AND(WORLDCUP!AC79=WORLDCUP!AD79,WORLDCUP!AC79&lt;&gt;"",WORLDCUP!AD79&lt;&gt;""),"X",0))),"|",WORLDCUP!AC79,"-",WORLDCUP!AD79)</f>
        <v>0|-</v>
      </c>
      <c r="D49" s="695"/>
      <c r="E49" s="370"/>
      <c r="F49" s="370"/>
      <c r="G49" s="370"/>
      <c r="H49" s="370"/>
      <c r="I49" s="381"/>
      <c r="J49" s="370"/>
      <c r="K49" s="370"/>
      <c r="L49" s="370"/>
      <c r="M49" s="379"/>
      <c r="N49" s="377"/>
    </row>
    <row r="50" spans="1:14" ht="15" customHeight="1" x14ac:dyDescent="0.2">
      <c r="A50" s="355" t="s">
        <v>311</v>
      </c>
      <c r="B50" s="356" t="str">
        <f ca="1">CONCATENATE(WORLDCUP!AA86,"-",WORLDCUP!AF86)</f>
        <v>Portugal-Uzbekistan</v>
      </c>
      <c r="C50" s="349" t="str">
        <f>CONCATENATE(IF(WORLDCUP!AC86&gt;WORLDCUP!AD86,1,IF(WORLDCUP!AC86&lt;WORLDCUP!AD86,2,IF(AND(WORLDCUP!AC86=WORLDCUP!AD86,WORLDCUP!AC86&lt;&gt;"",WORLDCUP!AD86&lt;&gt;""),"X",0))),"|",WORLDCUP!AC86,"-",WORLDCUP!AD86)</f>
        <v>0|-</v>
      </c>
      <c r="D50" s="695"/>
      <c r="E50" s="370"/>
      <c r="F50" s="370"/>
      <c r="G50" s="370"/>
      <c r="H50" s="370"/>
      <c r="I50" s="381"/>
      <c r="J50" s="370"/>
      <c r="K50" s="370"/>
      <c r="L50" s="370"/>
      <c r="M50" s="379"/>
      <c r="N50" s="377"/>
    </row>
    <row r="51" spans="1:14" ht="15" customHeight="1" x14ac:dyDescent="0.2">
      <c r="A51" s="355" t="s">
        <v>311</v>
      </c>
      <c r="B51" s="356" t="str">
        <f ca="1">CONCATENATE(WORLDCUP!AA87,"-",WORLDCUP!AF87)</f>
        <v>Colombia-DR Congo</v>
      </c>
      <c r="C51" s="349" t="str">
        <f>CONCATENATE(IF(WORLDCUP!AC87&gt;WORLDCUP!AD87,1,IF(WORLDCUP!AC87&lt;WORLDCUP!AD87,2,IF(AND(WORLDCUP!AC87=WORLDCUP!AD87,WORLDCUP!AC87&lt;&gt;"",WORLDCUP!AD87&lt;&gt;""),"X",0))),"|",WORLDCUP!AC87,"-",WORLDCUP!AD87)</f>
        <v>0|-</v>
      </c>
      <c r="D51" s="695"/>
      <c r="E51" s="370"/>
      <c r="F51" s="370"/>
      <c r="G51" s="370"/>
      <c r="H51" s="370"/>
      <c r="I51" s="381"/>
      <c r="J51" s="370"/>
      <c r="K51" s="370"/>
      <c r="L51" s="370"/>
      <c r="M51" s="379"/>
      <c r="N51" s="377"/>
    </row>
    <row r="52" spans="1:14" ht="15" customHeight="1" x14ac:dyDescent="0.2">
      <c r="A52" s="38" t="s">
        <v>1210</v>
      </c>
      <c r="B52" s="357" t="str">
        <f ca="1">CONCATENATE(WORLDCUP!AA94,"-",WORLDCUP!AF94)</f>
        <v>England-Ghana</v>
      </c>
      <c r="C52" s="349" t="str">
        <f>CONCATENATE(IF(WORLDCUP!AC94&gt;WORLDCUP!AD94,1,IF(WORLDCUP!AC94&lt;WORLDCUP!AD94,2,IF(AND(WORLDCUP!AC94=WORLDCUP!AD94,WORLDCUP!AC94&lt;&gt;"",WORLDCUP!AD94&lt;&gt;""),"X",0))),"|",WORLDCUP!AC94,"-",WORLDCUP!AD94)</f>
        <v>0|-</v>
      </c>
      <c r="D52" s="695"/>
      <c r="E52" s="370"/>
      <c r="F52" s="370"/>
      <c r="G52" s="370"/>
      <c r="H52" s="370"/>
      <c r="I52" s="381"/>
      <c r="J52" s="370"/>
      <c r="K52" s="370"/>
      <c r="L52" s="370"/>
      <c r="M52" s="379"/>
      <c r="N52" s="377"/>
    </row>
    <row r="53" spans="1:14" ht="15" customHeight="1" x14ac:dyDescent="0.2">
      <c r="A53" s="38" t="s">
        <v>1210</v>
      </c>
      <c r="B53" s="357" t="str">
        <f ca="1">CONCATENATE(WORLDCUP!AA95,"-",WORLDCUP!AF95)</f>
        <v>Panama-Croatia</v>
      </c>
      <c r="C53" s="349" t="str">
        <f>CONCATENATE(IF(WORLDCUP!AC95&gt;WORLDCUP!AD95,1,IF(WORLDCUP!AC95&lt;WORLDCUP!AD95,2,IF(AND(WORLDCUP!AC95=WORLDCUP!AD95,WORLDCUP!AC95&lt;&gt;"",WORLDCUP!AD95&lt;&gt;""),"X",0))),"|",WORLDCUP!AC95,"-",WORLDCUP!AD95)</f>
        <v>0|-</v>
      </c>
      <c r="D53" s="696"/>
      <c r="E53" s="372"/>
      <c r="F53" s="372"/>
      <c r="G53" s="372"/>
      <c r="H53" s="372"/>
      <c r="I53" s="382"/>
      <c r="J53" s="370"/>
      <c r="K53" s="370"/>
      <c r="L53" s="370"/>
      <c r="M53" s="379"/>
      <c r="N53" s="377"/>
    </row>
    <row r="54" spans="1:14" ht="15" customHeight="1" x14ac:dyDescent="0.2">
      <c r="A54" s="355" t="s">
        <v>126</v>
      </c>
      <c r="B54" s="356" t="str">
        <f ca="1">CONCATENATE(WORLDCUP!AA8,"-",WORLDCUP!AF8)</f>
        <v>Czech Republic-Mexico</v>
      </c>
      <c r="C54" s="349" t="str">
        <f>CONCATENATE(IF(WORLDCUP!AC8&gt;WORLDCUP!AD8,1,IF(WORLDCUP!AC8&lt;WORLDCUP!AD8,2,IF(AND(WORLDCUP!AC8=WORLDCUP!AD8,WORLDCUP!AC8&lt;&gt;"",WORLDCUP!AD8&lt;&gt;""),"X",0))),"|",WORLDCUP!AC8,"-",WORLDCUP!AD8)</f>
        <v>0|-</v>
      </c>
      <c r="D54" s="704" t="str">
        <f>Idiomas!D124</f>
        <v>R3</v>
      </c>
      <c r="E54" s="699" t="str">
        <f>Idiomas!D112</f>
        <v>·For the 3rd Round copy from C54 to C161 an paste as values in the Administrator Pool.</v>
      </c>
      <c r="F54" s="699"/>
      <c r="G54" s="699"/>
      <c r="H54" s="699"/>
      <c r="I54" s="381"/>
      <c r="J54" s="370"/>
      <c r="K54" s="370"/>
      <c r="L54" s="370"/>
      <c r="M54" s="379"/>
      <c r="N54" s="377"/>
    </row>
    <row r="55" spans="1:14" ht="15" customHeight="1" x14ac:dyDescent="0.2">
      <c r="A55" s="355" t="s">
        <v>126</v>
      </c>
      <c r="B55" s="356" t="str">
        <f ca="1">CONCATENATE(WORLDCUP!AA9,"-",WORLDCUP!AF9)</f>
        <v>South Africa-South Korea</v>
      </c>
      <c r="C55" s="349" t="str">
        <f>CONCATENATE(IF(WORLDCUP!AC9&gt;WORLDCUP!AD9,1,IF(WORLDCUP!AC9&lt;WORLDCUP!AD9,2,IF(AND(WORLDCUP!AC9=WORLDCUP!AD9,WORLDCUP!AC9&lt;&gt;"",WORLDCUP!AD9&lt;&gt;""),"X",0))),"|",WORLDCUP!AC9,"-",WORLDCUP!AD9)</f>
        <v>0|-</v>
      </c>
      <c r="D55" s="704"/>
      <c r="E55" s="685"/>
      <c r="F55" s="685"/>
      <c r="G55" s="685"/>
      <c r="H55" s="685"/>
      <c r="I55" s="381"/>
      <c r="J55" s="370"/>
      <c r="K55" s="370"/>
      <c r="L55" s="370"/>
      <c r="M55" s="379"/>
      <c r="N55" s="377"/>
    </row>
    <row r="56" spans="1:14" ht="15" customHeight="1" x14ac:dyDescent="0.2">
      <c r="A56" s="38" t="s">
        <v>127</v>
      </c>
      <c r="B56" s="357" t="str">
        <f ca="1">CONCATENATE(WORLDCUP!AA16,"-",WORLDCUP!AF16)</f>
        <v>Switzerland-Canada</v>
      </c>
      <c r="C56" s="349" t="str">
        <f>CONCATENATE(IF(WORLDCUP!AC16&gt;WORLDCUP!AD16,1,IF(WORLDCUP!AC16&lt;WORLDCUP!AD16,2,IF(AND(WORLDCUP!AC16=WORLDCUP!AD16,WORLDCUP!AC16&lt;&gt;"",WORLDCUP!AD16&lt;&gt;""),"X",0))),"|",WORLDCUP!AC16,"-",WORLDCUP!AD16)</f>
        <v>0|-</v>
      </c>
      <c r="D56" s="704"/>
      <c r="E56" s="685"/>
      <c r="F56" s="685"/>
      <c r="G56" s="685"/>
      <c r="H56" s="685"/>
      <c r="I56" s="381"/>
      <c r="J56" s="370"/>
      <c r="K56" s="370"/>
      <c r="L56" s="370"/>
      <c r="M56" s="379"/>
      <c r="N56" s="377"/>
    </row>
    <row r="57" spans="1:14" ht="15" customHeight="1" x14ac:dyDescent="0.2">
      <c r="A57" s="38" t="s">
        <v>127</v>
      </c>
      <c r="B57" s="357" t="str">
        <f ca="1">CONCATENATE(WORLDCUP!AA17,"-",WORLDCUP!AF17)</f>
        <v>Bosnia and Herzegovina-Qatar</v>
      </c>
      <c r="C57" s="349" t="str">
        <f>CONCATENATE(IF(WORLDCUP!AC17&gt;WORLDCUP!AD17,1,IF(WORLDCUP!AC17&lt;WORLDCUP!AD17,2,IF(AND(WORLDCUP!AC17=WORLDCUP!AD17,WORLDCUP!AC17&lt;&gt;"",WORLDCUP!AD17&lt;&gt;""),"X",0))),"|",WORLDCUP!AC17,"-",WORLDCUP!AD17)</f>
        <v>0|-</v>
      </c>
      <c r="D57" s="704"/>
      <c r="E57" s="685"/>
      <c r="F57" s="685"/>
      <c r="G57" s="685"/>
      <c r="H57" s="685"/>
      <c r="I57" s="381"/>
      <c r="J57" s="370"/>
      <c r="K57" s="370"/>
      <c r="L57" s="370"/>
      <c r="M57" s="379"/>
      <c r="N57" s="377"/>
    </row>
    <row r="58" spans="1:14" ht="15" customHeight="1" x14ac:dyDescent="0.2">
      <c r="A58" s="355" t="s">
        <v>128</v>
      </c>
      <c r="B58" s="356" t="str">
        <f ca="1">CONCATENATE(WORLDCUP!AA24,"-",WORLDCUP!AF24)</f>
        <v>Scotland-Brazil</v>
      </c>
      <c r="C58" s="349" t="str">
        <f>CONCATENATE(IF(WORLDCUP!AC24&gt;WORLDCUP!AD24,1,IF(WORLDCUP!AC24&lt;WORLDCUP!AD24,2,IF(AND(WORLDCUP!AC24=WORLDCUP!AD24,WORLDCUP!AC24&lt;&gt;"",WORLDCUP!AD24&lt;&gt;""),"X",0))),"|",WORLDCUP!AC24,"-",WORLDCUP!AD24)</f>
        <v>0|-</v>
      </c>
      <c r="D58" s="704"/>
      <c r="E58" s="370"/>
      <c r="F58" s="370"/>
      <c r="G58" s="370"/>
      <c r="H58" s="370"/>
      <c r="I58" s="381"/>
      <c r="J58" s="370"/>
      <c r="K58" s="370"/>
      <c r="L58" s="370"/>
      <c r="M58" s="379"/>
      <c r="N58" s="377"/>
    </row>
    <row r="59" spans="1:14" ht="15" customHeight="1" x14ac:dyDescent="0.2">
      <c r="A59" s="355" t="s">
        <v>128</v>
      </c>
      <c r="B59" s="356" t="str">
        <f ca="1">CONCATENATE(WORLDCUP!AA25,"-",WORLDCUP!AF25)</f>
        <v>Morocco-Haiti</v>
      </c>
      <c r="C59" s="349" t="str">
        <f>CONCATENATE(IF(WORLDCUP!AC25&gt;WORLDCUP!AD25,1,IF(WORLDCUP!AC25&lt;WORLDCUP!AD25,2,IF(AND(WORLDCUP!AC25=WORLDCUP!AD25,WORLDCUP!AC25&lt;&gt;"",WORLDCUP!AD25&lt;&gt;""),"X",0))),"|",WORLDCUP!AC25,"-",WORLDCUP!AD25)</f>
        <v>0|-</v>
      </c>
      <c r="D59" s="704"/>
      <c r="E59" s="370"/>
      <c r="F59" s="370"/>
      <c r="G59" s="370"/>
      <c r="H59" s="370"/>
      <c r="I59" s="381"/>
      <c r="J59" s="370"/>
      <c r="K59" s="370"/>
      <c r="L59" s="370"/>
      <c r="M59" s="379"/>
      <c r="N59" s="377"/>
    </row>
    <row r="60" spans="1:14" ht="15" customHeight="1" x14ac:dyDescent="0.2">
      <c r="A60" s="38" t="s">
        <v>129</v>
      </c>
      <c r="B60" s="357" t="str">
        <f ca="1">CONCATENATE(WORLDCUP!AA32,"-",WORLDCUP!AF32)</f>
        <v>Turkey-United States</v>
      </c>
      <c r="C60" s="349" t="str">
        <f>CONCATENATE(IF(WORLDCUP!AC32&gt;WORLDCUP!AD32,1,IF(WORLDCUP!AC32&lt;WORLDCUP!AD32,2,IF(AND(WORLDCUP!AC32=WORLDCUP!AD32,WORLDCUP!AC32&lt;&gt;"",WORLDCUP!AD32&lt;&gt;""),"X",0))),"|",WORLDCUP!AC32,"-",WORLDCUP!AD32)</f>
        <v>0|-</v>
      </c>
      <c r="D60" s="704"/>
      <c r="E60" s="370"/>
      <c r="F60" s="370"/>
      <c r="G60" s="370"/>
      <c r="H60" s="370"/>
      <c r="I60" s="381"/>
      <c r="J60" s="370"/>
      <c r="K60" s="370"/>
      <c r="L60" s="370"/>
      <c r="M60" s="379"/>
      <c r="N60" s="377"/>
    </row>
    <row r="61" spans="1:14" ht="15" customHeight="1" x14ac:dyDescent="0.2">
      <c r="A61" s="38" t="s">
        <v>129</v>
      </c>
      <c r="B61" s="357" t="str">
        <f ca="1">CONCATENATE(WORLDCUP!AA33,"-",WORLDCUP!AF33)</f>
        <v>Paraguay-Australia</v>
      </c>
      <c r="C61" s="349" t="str">
        <f>CONCATENATE(IF(WORLDCUP!AC33&gt;WORLDCUP!AD33,1,IF(WORLDCUP!AC33&lt;WORLDCUP!AD33,2,IF(AND(WORLDCUP!AC33=WORLDCUP!AD33,WORLDCUP!AC33&lt;&gt;"",WORLDCUP!AD33&lt;&gt;""),"X",0))),"|",WORLDCUP!AC33,"-",WORLDCUP!AD33)</f>
        <v>0|-</v>
      </c>
      <c r="D61" s="704"/>
      <c r="E61" s="370"/>
      <c r="F61" s="370"/>
      <c r="G61" s="370"/>
      <c r="H61" s="370"/>
      <c r="I61" s="381"/>
      <c r="J61" s="370"/>
      <c r="K61" s="370"/>
      <c r="L61" s="370"/>
      <c r="M61" s="379"/>
      <c r="N61" s="377"/>
    </row>
    <row r="62" spans="1:14" ht="15" customHeight="1" x14ac:dyDescent="0.2">
      <c r="A62" s="355" t="s">
        <v>130</v>
      </c>
      <c r="B62" s="356" t="str">
        <f ca="1">CONCATENATE(WORLDCUP!AA40,"-",WORLDCUP!AF40)</f>
        <v>Curaçao-Ivory Coast</v>
      </c>
      <c r="C62" s="349" t="str">
        <f>CONCATENATE(IF(WORLDCUP!AC40&gt;WORLDCUP!AD40,1,IF(WORLDCUP!AC40&lt;WORLDCUP!AD40,2,IF(AND(WORLDCUP!AC40=WORLDCUP!AD40,WORLDCUP!AC40&lt;&gt;"",WORLDCUP!AD40&lt;&gt;""),"X",0))),"|",WORLDCUP!AC40,"-",WORLDCUP!AD40)</f>
        <v>0|-</v>
      </c>
      <c r="D62" s="704"/>
      <c r="E62" s="370"/>
      <c r="F62" s="370"/>
      <c r="G62" s="370"/>
      <c r="H62" s="370"/>
      <c r="I62" s="381"/>
      <c r="J62" s="370"/>
      <c r="K62" s="370"/>
      <c r="L62" s="370"/>
      <c r="M62" s="379"/>
      <c r="N62" s="377"/>
    </row>
    <row r="63" spans="1:14" ht="15" customHeight="1" x14ac:dyDescent="0.2">
      <c r="A63" s="355" t="s">
        <v>130</v>
      </c>
      <c r="B63" s="356" t="str">
        <f ca="1">CONCATENATE(WORLDCUP!AA41,"-",WORLDCUP!AF41)</f>
        <v>Ecuador-Germany</v>
      </c>
      <c r="C63" s="349" t="str">
        <f>CONCATENATE(IF(WORLDCUP!AC41&gt;WORLDCUP!AD41,1,IF(WORLDCUP!AC41&lt;WORLDCUP!AD41,2,IF(AND(WORLDCUP!AC41=WORLDCUP!AD41,WORLDCUP!AC41&lt;&gt;"",WORLDCUP!AD41&lt;&gt;""),"X",0))),"|",WORLDCUP!AC41,"-",WORLDCUP!AD41)</f>
        <v>0|-</v>
      </c>
      <c r="D63" s="704"/>
      <c r="E63" s="370"/>
      <c r="F63" s="370"/>
      <c r="G63" s="370"/>
      <c r="H63" s="370"/>
      <c r="I63" s="381"/>
      <c r="J63" s="370"/>
      <c r="K63" s="370"/>
      <c r="L63" s="370"/>
      <c r="M63" s="379"/>
      <c r="N63" s="377"/>
    </row>
    <row r="64" spans="1:14" ht="15" customHeight="1" x14ac:dyDescent="0.2">
      <c r="A64" s="38" t="s">
        <v>131</v>
      </c>
      <c r="B64" s="357" t="str">
        <f ca="1">CONCATENATE(WORLDCUP!AA48,"-",WORLDCUP!AF48)</f>
        <v>Japan-Sweden</v>
      </c>
      <c r="C64" s="349" t="str">
        <f>CONCATENATE(IF(WORLDCUP!AC48&gt;WORLDCUP!AD48,1,IF(WORLDCUP!AC48&lt;WORLDCUP!AD48,2,IF(AND(WORLDCUP!AC48=WORLDCUP!AD48,WORLDCUP!AC48&lt;&gt;"",WORLDCUP!AD48&lt;&gt;""),"X",0))),"|",WORLDCUP!AC48,"-",WORLDCUP!AD48)</f>
        <v>0|-</v>
      </c>
      <c r="D64" s="704"/>
      <c r="E64" s="370"/>
      <c r="F64" s="370"/>
      <c r="G64" s="370"/>
      <c r="H64" s="370"/>
      <c r="I64" s="381"/>
      <c r="J64" s="370"/>
      <c r="K64" s="370"/>
      <c r="L64" s="370"/>
      <c r="M64" s="379"/>
      <c r="N64" s="377"/>
    </row>
    <row r="65" spans="1:14" ht="15" customHeight="1" x14ac:dyDescent="0.2">
      <c r="A65" s="38" t="s">
        <v>131</v>
      </c>
      <c r="B65" s="357" t="str">
        <f ca="1">CONCATENATE(WORLDCUP!AA49,"-",WORLDCUP!AF49)</f>
        <v>Tunisia-Netherlands</v>
      </c>
      <c r="C65" s="349" t="str">
        <f>CONCATENATE(IF(WORLDCUP!AC49&gt;WORLDCUP!AD49,1,IF(WORLDCUP!AC49&lt;WORLDCUP!AD49,2,IF(AND(WORLDCUP!AC49=WORLDCUP!AD49,WORLDCUP!AC49&lt;&gt;"",WORLDCUP!AD49&lt;&gt;""),"X",0))),"|",WORLDCUP!AC49,"-",WORLDCUP!AD49)</f>
        <v>0|-</v>
      </c>
      <c r="D65" s="704"/>
      <c r="E65" s="370"/>
      <c r="F65" s="370"/>
      <c r="G65" s="370"/>
      <c r="H65" s="370"/>
      <c r="I65" s="381"/>
      <c r="J65" s="370"/>
      <c r="K65" s="370"/>
      <c r="L65" s="370"/>
      <c r="M65" s="379"/>
      <c r="N65" s="377"/>
    </row>
    <row r="66" spans="1:14" ht="15" customHeight="1" x14ac:dyDescent="0.2">
      <c r="A66" s="355" t="s">
        <v>182</v>
      </c>
      <c r="B66" s="356" t="str">
        <f ca="1">CONCATENATE(WORLDCUP!AA56,"-",WORLDCUP!AF56)</f>
        <v>Egypt-Iran</v>
      </c>
      <c r="C66" s="349" t="str">
        <f>CONCATENATE(IF(WORLDCUP!AC56&gt;WORLDCUP!AD56,1,IF(WORLDCUP!AC56&lt;WORLDCUP!AD56,2,IF(AND(WORLDCUP!AC56=WORLDCUP!AD56,WORLDCUP!AC56&lt;&gt;"",WORLDCUP!AD56&lt;&gt;""),"X",0))),"|",WORLDCUP!AC56,"-",WORLDCUP!AD56)</f>
        <v>0|-</v>
      </c>
      <c r="D66" s="704"/>
      <c r="E66" s="370"/>
      <c r="F66" s="370"/>
      <c r="G66" s="370"/>
      <c r="H66" s="370"/>
      <c r="I66" s="381"/>
      <c r="J66" s="370"/>
      <c r="K66" s="370"/>
      <c r="L66" s="370"/>
      <c r="M66" s="379"/>
      <c r="N66" s="377"/>
    </row>
    <row r="67" spans="1:14" ht="15" customHeight="1" x14ac:dyDescent="0.2">
      <c r="A67" s="355" t="s">
        <v>182</v>
      </c>
      <c r="B67" s="356" t="str">
        <f ca="1">CONCATENATE(WORLDCUP!AA57,"-",WORLDCUP!AF57)</f>
        <v>New Zealand-Belgium</v>
      </c>
      <c r="C67" s="349" t="str">
        <f>CONCATENATE(IF(WORLDCUP!AC57&gt;WORLDCUP!AD57,1,IF(WORLDCUP!AC57&lt;WORLDCUP!AD57,2,IF(AND(WORLDCUP!AC57=WORLDCUP!AD57,WORLDCUP!AC57&lt;&gt;"",WORLDCUP!AD57&lt;&gt;""),"X",0))),"|",WORLDCUP!AC57,"-",WORLDCUP!AD57)</f>
        <v>0|-</v>
      </c>
      <c r="D67" s="704"/>
      <c r="E67" s="370"/>
      <c r="F67" s="370"/>
      <c r="G67" s="370"/>
      <c r="H67" s="370"/>
      <c r="I67" s="381"/>
      <c r="J67" s="370"/>
      <c r="K67" s="370"/>
      <c r="L67" s="370"/>
      <c r="M67" s="379"/>
      <c r="N67" s="377"/>
    </row>
    <row r="68" spans="1:14" ht="15" customHeight="1" x14ac:dyDescent="0.2">
      <c r="A68" s="38" t="s">
        <v>183</v>
      </c>
      <c r="B68" s="357" t="str">
        <f ca="1">CONCATENATE(WORLDCUP!AA64,"-",WORLDCUP!AF64)</f>
        <v>Cape Verde-Saudi Arabia</v>
      </c>
      <c r="C68" s="349" t="str">
        <f>CONCATENATE(IF(WORLDCUP!AC64&gt;WORLDCUP!AD64,1,IF(WORLDCUP!AC64&lt;WORLDCUP!AD64,2,IF(AND(WORLDCUP!AC64=WORLDCUP!AD64,WORLDCUP!AC64&lt;&gt;"",WORLDCUP!AD64&lt;&gt;""),"X",0))),"|",WORLDCUP!AC64,"-",WORLDCUP!AD64)</f>
        <v>0|-</v>
      </c>
      <c r="D68" s="704"/>
      <c r="E68" s="370"/>
      <c r="F68" s="370"/>
      <c r="G68" s="370"/>
      <c r="H68" s="370"/>
      <c r="I68" s="381"/>
      <c r="J68" s="370"/>
      <c r="K68" s="370"/>
      <c r="L68" s="370"/>
      <c r="M68" s="379"/>
      <c r="N68" s="377"/>
    </row>
    <row r="69" spans="1:14" ht="15" customHeight="1" x14ac:dyDescent="0.2">
      <c r="A69" s="38" t="s">
        <v>183</v>
      </c>
      <c r="B69" s="357" t="str">
        <f ca="1">CONCATENATE(WORLDCUP!AA65,"-",WORLDCUP!AF65)</f>
        <v>Uruguay-Spain</v>
      </c>
      <c r="C69" s="349" t="str">
        <f>CONCATENATE(IF(WORLDCUP!AC65&gt;WORLDCUP!AD65,1,IF(WORLDCUP!AC65&lt;WORLDCUP!AD65,2,IF(AND(WORLDCUP!AC65=WORLDCUP!AD65,WORLDCUP!AC65&lt;&gt;"",WORLDCUP!AD65&lt;&gt;""),"X",0))),"|",WORLDCUP!AC65,"-",WORLDCUP!AD65)</f>
        <v>0|-</v>
      </c>
      <c r="D69" s="704"/>
      <c r="E69" s="370"/>
      <c r="F69" s="370"/>
      <c r="G69" s="370"/>
      <c r="H69" s="370"/>
      <c r="I69" s="381"/>
      <c r="J69" s="370"/>
      <c r="K69" s="370"/>
      <c r="L69" s="370"/>
      <c r="M69" s="379"/>
      <c r="N69" s="377"/>
    </row>
    <row r="70" spans="1:14" ht="15" customHeight="1" x14ac:dyDescent="0.2">
      <c r="A70" s="355" t="s">
        <v>184</v>
      </c>
      <c r="B70" s="356" t="str">
        <f ca="1">CONCATENATE(WORLDCUP!AA72,"-",WORLDCUP!AF72)</f>
        <v>Norway-France</v>
      </c>
      <c r="C70" s="349" t="str">
        <f>CONCATENATE(IF(WORLDCUP!AC72&gt;WORLDCUP!AD72,1,IF(WORLDCUP!AC72&lt;WORLDCUP!AD72,2,IF(AND(WORLDCUP!AC72=WORLDCUP!AD72,WORLDCUP!AC72&lt;&gt;"",WORLDCUP!AD72&lt;&gt;""),"X",0))),"|",WORLDCUP!AC72,"-",WORLDCUP!AD72)</f>
        <v>0|-</v>
      </c>
      <c r="D70" s="704"/>
      <c r="E70" s="370"/>
      <c r="F70" s="370"/>
      <c r="G70" s="370"/>
      <c r="H70" s="370"/>
      <c r="I70" s="381"/>
      <c r="J70" s="370"/>
      <c r="K70" s="370"/>
      <c r="L70" s="370"/>
      <c r="M70" s="379"/>
      <c r="N70" s="377"/>
    </row>
    <row r="71" spans="1:14" ht="15" customHeight="1" x14ac:dyDescent="0.2">
      <c r="A71" s="355" t="s">
        <v>184</v>
      </c>
      <c r="B71" s="356" t="str">
        <f ca="1">CONCATENATE(WORLDCUP!AA73,"-",WORLDCUP!AF73)</f>
        <v>Senegal-Iraq</v>
      </c>
      <c r="C71" s="349" t="str">
        <f>CONCATENATE(IF(WORLDCUP!AC73&gt;WORLDCUP!AD73,1,IF(WORLDCUP!AC73&lt;WORLDCUP!AD73,2,IF(AND(WORLDCUP!AC73=WORLDCUP!AD73,WORLDCUP!AC73&lt;&gt;"",WORLDCUP!AD73&lt;&gt;""),"X",0))),"|",WORLDCUP!AC73,"-",WORLDCUP!AD73)</f>
        <v>0|-</v>
      </c>
      <c r="D71" s="704"/>
      <c r="E71" s="370"/>
      <c r="F71" s="370"/>
      <c r="G71" s="370"/>
      <c r="H71" s="370"/>
      <c r="I71" s="381"/>
      <c r="J71" s="370"/>
      <c r="K71" s="370"/>
      <c r="L71" s="370"/>
      <c r="M71" s="379"/>
      <c r="N71" s="377"/>
    </row>
    <row r="72" spans="1:14" ht="15" customHeight="1" x14ac:dyDescent="0.2">
      <c r="A72" s="38" t="s">
        <v>30</v>
      </c>
      <c r="B72" s="357" t="str">
        <f ca="1">CONCATENATE(WORLDCUP!AA80,"-",WORLDCUP!AF80)</f>
        <v>Algeria-Austria</v>
      </c>
      <c r="C72" s="349" t="str">
        <f>CONCATENATE(IF(WORLDCUP!AC80&gt;WORLDCUP!AD80,1,IF(WORLDCUP!AC80&lt;WORLDCUP!AD80,2,IF(AND(WORLDCUP!AC80=WORLDCUP!AD80,WORLDCUP!AC80&lt;&gt;"",WORLDCUP!AD80&lt;&gt;""),"X",0))),"|",WORLDCUP!AC80,"-",WORLDCUP!AD80)</f>
        <v>0|-</v>
      </c>
      <c r="D72" s="704"/>
      <c r="E72" s="370"/>
      <c r="F72" s="370"/>
      <c r="G72" s="370"/>
      <c r="H72" s="370"/>
      <c r="I72" s="381"/>
      <c r="J72" s="370"/>
      <c r="K72" s="370"/>
      <c r="L72" s="370"/>
      <c r="M72" s="379"/>
      <c r="N72" s="377"/>
    </row>
    <row r="73" spans="1:14" ht="15" customHeight="1" x14ac:dyDescent="0.2">
      <c r="A73" s="38" t="s">
        <v>30</v>
      </c>
      <c r="B73" s="357" t="str">
        <f ca="1">CONCATENATE(WORLDCUP!AA81,"-",WORLDCUP!AF81)</f>
        <v>Jordan-Argentina</v>
      </c>
      <c r="C73" s="349" t="str">
        <f>CONCATENATE(IF(WORLDCUP!AC81&gt;WORLDCUP!AD81,1,IF(WORLDCUP!AC81&lt;WORLDCUP!AD81,2,IF(AND(WORLDCUP!AC81=WORLDCUP!AD81,WORLDCUP!AC81&lt;&gt;"",WORLDCUP!AD81&lt;&gt;""),"X",0))),"|",WORLDCUP!AC81,"-",WORLDCUP!AD81)</f>
        <v>0|-</v>
      </c>
      <c r="D73" s="704"/>
      <c r="E73" s="370"/>
      <c r="F73" s="370"/>
      <c r="G73" s="370"/>
      <c r="H73" s="370"/>
      <c r="I73" s="381"/>
      <c r="J73" s="370"/>
      <c r="K73" s="370"/>
      <c r="L73" s="370"/>
      <c r="M73" s="379"/>
      <c r="N73" s="377"/>
    </row>
    <row r="74" spans="1:14" ht="15" customHeight="1" x14ac:dyDescent="0.2">
      <c r="A74" s="355" t="s">
        <v>190</v>
      </c>
      <c r="B74" s="356" t="str">
        <f ca="1">CONCATENATE(WORLDCUP!AA88,"-",WORLDCUP!AF88)</f>
        <v>Colombia-Portugal</v>
      </c>
      <c r="C74" s="349" t="str">
        <f>CONCATENATE(IF(WORLDCUP!AC88&gt;WORLDCUP!AD88,1,IF(WORLDCUP!AC88&lt;WORLDCUP!AD88,2,IF(AND(WORLDCUP!AC88=WORLDCUP!AD88,WORLDCUP!AC88&lt;&gt;"",WORLDCUP!AD88&lt;&gt;""),"X",0))),"|",WORLDCUP!AC88,"-",WORLDCUP!AD88)</f>
        <v>0|-</v>
      </c>
      <c r="D74" s="704"/>
      <c r="E74" s="370"/>
      <c r="F74" s="370"/>
      <c r="G74" s="370"/>
      <c r="H74" s="370"/>
      <c r="I74" s="381"/>
      <c r="J74" s="370"/>
      <c r="K74" s="370"/>
      <c r="L74" s="370"/>
      <c r="M74" s="379"/>
      <c r="N74" s="377"/>
    </row>
    <row r="75" spans="1:14" ht="15" customHeight="1" x14ac:dyDescent="0.2">
      <c r="A75" s="355" t="s">
        <v>190</v>
      </c>
      <c r="B75" s="356" t="str">
        <f ca="1">CONCATENATE(WORLDCUP!AA89,"-",WORLDCUP!AF89)</f>
        <v>DR Congo-Uzbekistan</v>
      </c>
      <c r="C75" s="349" t="str">
        <f>CONCATENATE(IF(WORLDCUP!AC89&gt;WORLDCUP!AD89,1,IF(WORLDCUP!AC89&lt;WORLDCUP!AD89,2,IF(AND(WORLDCUP!AC89=WORLDCUP!AD89,WORLDCUP!AC89&lt;&gt;"",WORLDCUP!AD89&lt;&gt;""),"X",0))),"|",WORLDCUP!AC89,"-",WORLDCUP!AD89)</f>
        <v>0|-</v>
      </c>
      <c r="D75" s="704"/>
      <c r="E75" s="370"/>
      <c r="F75" s="370"/>
      <c r="G75" s="370"/>
      <c r="H75" s="370"/>
      <c r="I75" s="381"/>
      <c r="J75" s="370"/>
      <c r="K75" s="370"/>
      <c r="L75" s="370"/>
      <c r="M75" s="379"/>
      <c r="N75" s="377"/>
    </row>
    <row r="76" spans="1:14" ht="15" customHeight="1" x14ac:dyDescent="0.2">
      <c r="A76" s="38" t="s">
        <v>1211</v>
      </c>
      <c r="B76" s="357" t="str">
        <f ca="1">CONCATENATE(WORLDCUP!AA96,"-",WORLDCUP!AF96)</f>
        <v>Panama-England</v>
      </c>
      <c r="C76" s="349" t="str">
        <f>CONCATENATE(IF(WORLDCUP!AC96&gt;WORLDCUP!AD96,1,IF(WORLDCUP!AC96&lt;WORLDCUP!AD96,2,IF(AND(WORLDCUP!AC96=WORLDCUP!AD96,WORLDCUP!AC96&lt;&gt;"",WORLDCUP!AD96&lt;&gt;""),"X",0))),"|",WORLDCUP!AC96,"-",WORLDCUP!AD96)</f>
        <v>0|-</v>
      </c>
      <c r="D76" s="704"/>
      <c r="E76" s="370"/>
      <c r="F76" s="370"/>
      <c r="G76" s="370"/>
      <c r="H76" s="370"/>
      <c r="I76" s="381"/>
      <c r="J76" s="370"/>
      <c r="K76" s="370"/>
      <c r="L76" s="370"/>
      <c r="M76" s="379"/>
      <c r="N76" s="377"/>
    </row>
    <row r="77" spans="1:14" ht="15" customHeight="1" x14ac:dyDescent="0.2">
      <c r="A77" s="38" t="s">
        <v>1211</v>
      </c>
      <c r="B77" s="357" t="str">
        <f ca="1">CONCATENATE(WORLDCUP!AA97,"-",WORLDCUP!AF97)</f>
        <v>Croatia-Ghana</v>
      </c>
      <c r="C77" s="349" t="str">
        <f>CONCATENATE(IF(WORLDCUP!AC97&gt;WORLDCUP!AD97,1,IF(WORLDCUP!AC97&lt;WORLDCUP!AD97,2,IF(AND(WORLDCUP!AC97=WORLDCUP!AD97,WORLDCUP!AC97&lt;&gt;"",WORLDCUP!AD97&lt;&gt;""),"X",0))),"|",WORLDCUP!AC97,"-",WORLDCUP!AD97)</f>
        <v>0|-</v>
      </c>
      <c r="D77" s="704"/>
      <c r="E77" s="370"/>
      <c r="F77" s="370"/>
      <c r="G77" s="370"/>
      <c r="H77" s="370"/>
      <c r="I77" s="381"/>
      <c r="J77" s="370"/>
      <c r="K77" s="370"/>
      <c r="L77" s="370"/>
      <c r="M77" s="379"/>
      <c r="N77" s="377"/>
    </row>
    <row r="78" spans="1:14" ht="15" customHeight="1" x14ac:dyDescent="0.2">
      <c r="A78" s="353"/>
      <c r="B78" s="353"/>
      <c r="C78" s="350"/>
      <c r="D78" s="704"/>
      <c r="E78" s="370"/>
      <c r="F78" s="370"/>
      <c r="G78" s="370"/>
      <c r="H78" s="370"/>
      <c r="I78" s="381"/>
      <c r="J78" s="370"/>
      <c r="K78" s="370"/>
      <c r="L78" s="370"/>
      <c r="M78" s="379"/>
      <c r="N78" s="377"/>
    </row>
    <row r="79" spans="1:14" ht="19" customHeight="1" x14ac:dyDescent="0.25">
      <c r="A79" s="353"/>
      <c r="B79" s="358" t="str">
        <f>Idiomas!D126</f>
        <v>GROUP POSITION</v>
      </c>
      <c r="C79" s="350"/>
      <c r="D79" s="704"/>
      <c r="E79" s="370"/>
      <c r="F79" s="370"/>
      <c r="G79" s="370"/>
      <c r="H79" s="370"/>
      <c r="I79" s="381"/>
      <c r="J79" s="370"/>
      <c r="K79" s="370"/>
      <c r="L79" s="370"/>
      <c r="M79" s="379"/>
      <c r="N79" s="377"/>
    </row>
    <row r="80" spans="1:14" ht="15" customHeight="1" x14ac:dyDescent="0.2">
      <c r="A80" s="697" t="s">
        <v>0</v>
      </c>
      <c r="B80" s="359" t="str">
        <f>Idiomas!D140</f>
        <v>1st GROUP A</v>
      </c>
      <c r="C80" s="349" t="str">
        <f ca="1">IF(OR(SUM(WORLDCUP!$AN$6:$AN$9)=12,WORLDCUP!$AJ$99=144),WORLDCUP!AL6,B80)</f>
        <v>1st GROUP A</v>
      </c>
      <c r="D80" s="704"/>
      <c r="E80" s="370"/>
      <c r="F80" s="370"/>
      <c r="G80" s="370"/>
      <c r="H80" s="370"/>
      <c r="I80" s="381"/>
      <c r="J80" s="370"/>
      <c r="K80" s="370"/>
      <c r="L80" s="370"/>
      <c r="M80" s="379"/>
      <c r="N80" s="377"/>
    </row>
    <row r="81" spans="1:14" ht="15" customHeight="1" x14ac:dyDescent="0.2">
      <c r="A81" s="697"/>
      <c r="B81" s="359" t="str">
        <f>Idiomas!D141</f>
        <v>2nd GROUP A</v>
      </c>
      <c r="C81" s="349" t="str">
        <f ca="1">IF(OR(SUM(WORLDCUP!$AN$6:$AN$9)=12,WORLDCUP!$AJ$99=144),WORLDCUP!AL7,B81)</f>
        <v>2nd GROUP A</v>
      </c>
      <c r="D81" s="704"/>
      <c r="E81" s="370"/>
      <c r="F81" s="370"/>
      <c r="G81" s="370"/>
      <c r="H81" s="370"/>
      <c r="I81" s="381"/>
      <c r="J81" s="370"/>
      <c r="K81" s="370"/>
      <c r="L81" s="370"/>
      <c r="M81" s="379"/>
      <c r="N81" s="377"/>
    </row>
    <row r="82" spans="1:14" ht="15" customHeight="1" x14ac:dyDescent="0.2">
      <c r="A82" s="697"/>
      <c r="B82" s="359" t="str">
        <f>Idiomas!D142</f>
        <v>3rd GROUP A</v>
      </c>
      <c r="C82" s="349" t="str">
        <f ca="1">IF(OR(SUM(WORLDCUP!$AN$6:$AN$9)=12,WORLDCUP!$AJ$99=144),WORLDCUP!AL8,B82)</f>
        <v>3rd GROUP A</v>
      </c>
      <c r="D82" s="704"/>
      <c r="E82" s="370"/>
      <c r="F82" s="370"/>
      <c r="G82" s="370"/>
      <c r="H82" s="370"/>
      <c r="I82" s="381"/>
      <c r="J82" s="370"/>
      <c r="K82" s="370"/>
      <c r="L82" s="370"/>
      <c r="M82" s="379"/>
      <c r="N82" s="377"/>
    </row>
    <row r="83" spans="1:14" ht="15" customHeight="1" x14ac:dyDescent="0.2">
      <c r="A83" s="697"/>
      <c r="B83" s="359" t="str">
        <f>Idiomas!D143</f>
        <v>4th GROUP A</v>
      </c>
      <c r="C83" s="349" t="str">
        <f ca="1">IF(OR(SUM(WORLDCUP!$AN$6:$AN$9)=12,WORLDCUP!$AJ$99=144),WORLDCUP!AL9,B83)</f>
        <v>4th GROUP A</v>
      </c>
      <c r="D83" s="704"/>
      <c r="E83" s="370"/>
      <c r="F83" s="370"/>
      <c r="G83" s="370"/>
      <c r="H83" s="370"/>
      <c r="I83" s="381"/>
      <c r="J83" s="370"/>
      <c r="K83" s="370"/>
      <c r="L83" s="370"/>
      <c r="M83" s="379"/>
      <c r="N83" s="377"/>
    </row>
    <row r="84" spans="1:14" ht="15" customHeight="1" x14ac:dyDescent="0.2">
      <c r="A84" s="707" t="s">
        <v>1</v>
      </c>
      <c r="B84" s="357" t="str">
        <f>Idiomas!D144</f>
        <v>1st GROUP B</v>
      </c>
      <c r="C84" s="349" t="str">
        <f ca="1">IF(OR(SUM(WORLDCUP!$AN$14:$AN$17)=12,WORLDCUP!$AJ$99=144),WORLDCUP!AL14,B84)</f>
        <v>1st GROUP B</v>
      </c>
      <c r="D84" s="704"/>
      <c r="E84" s="370"/>
      <c r="F84" s="370"/>
      <c r="G84" s="370"/>
      <c r="H84" s="370"/>
      <c r="I84" s="381"/>
      <c r="J84" s="370"/>
      <c r="K84" s="370"/>
      <c r="L84" s="370"/>
      <c r="M84" s="379"/>
      <c r="N84" s="377"/>
    </row>
    <row r="85" spans="1:14" ht="15" customHeight="1" x14ac:dyDescent="0.2">
      <c r="A85" s="707"/>
      <c r="B85" s="357" t="str">
        <f>Idiomas!D145</f>
        <v>2nd GROUP B</v>
      </c>
      <c r="C85" s="349" t="str">
        <f ca="1">IF(OR(SUM(WORLDCUP!$AN$14:$AN$17)=12,WORLDCUP!$AJ$99=144),WORLDCUP!AL15,B85)</f>
        <v>2nd GROUP B</v>
      </c>
      <c r="D85" s="704"/>
      <c r="E85" s="370"/>
      <c r="F85" s="370"/>
      <c r="G85" s="370"/>
      <c r="H85" s="370"/>
      <c r="I85" s="381"/>
      <c r="J85" s="370"/>
      <c r="K85" s="370"/>
      <c r="L85" s="370"/>
      <c r="M85" s="379"/>
      <c r="N85" s="377"/>
    </row>
    <row r="86" spans="1:14" ht="15" customHeight="1" x14ac:dyDescent="0.2">
      <c r="A86" s="707"/>
      <c r="B86" s="357" t="str">
        <f>Idiomas!D146</f>
        <v>3rd GROUP B</v>
      </c>
      <c r="C86" s="349" t="str">
        <f ca="1">IF(OR(SUM(WORLDCUP!$AN$14:$AN$17)=12,WORLDCUP!$AJ$99=144),WORLDCUP!AL16,B86)</f>
        <v>3rd GROUP B</v>
      </c>
      <c r="D86" s="704"/>
      <c r="E86" s="370"/>
      <c r="F86" s="370"/>
      <c r="G86" s="370"/>
      <c r="H86" s="370"/>
      <c r="I86" s="381"/>
      <c r="J86" s="370"/>
      <c r="K86" s="370"/>
      <c r="L86" s="370"/>
      <c r="M86" s="379"/>
      <c r="N86" s="377"/>
    </row>
    <row r="87" spans="1:14" ht="15" customHeight="1" x14ac:dyDescent="0.2">
      <c r="A87" s="707"/>
      <c r="B87" s="357" t="str">
        <f>Idiomas!D147</f>
        <v>4th GROUP B</v>
      </c>
      <c r="C87" s="349" t="str">
        <f ca="1">IF(OR(SUM(WORLDCUP!$AN$14:$AN$17)=12,WORLDCUP!$AJ$99=144),WORLDCUP!AL17,B87)</f>
        <v>4th GROUP B</v>
      </c>
      <c r="D87" s="704"/>
      <c r="E87" s="370"/>
      <c r="F87" s="370"/>
      <c r="G87" s="370"/>
      <c r="H87" s="370"/>
      <c r="I87" s="381"/>
      <c r="J87" s="370"/>
      <c r="K87" s="370"/>
      <c r="L87" s="370"/>
      <c r="M87" s="379"/>
      <c r="N87" s="377"/>
    </row>
    <row r="88" spans="1:14" ht="15" customHeight="1" x14ac:dyDescent="0.2">
      <c r="A88" s="697" t="s">
        <v>2</v>
      </c>
      <c r="B88" s="359" t="str">
        <f>Idiomas!D148</f>
        <v>1st GROUP C</v>
      </c>
      <c r="C88" s="349" t="str">
        <f ca="1">IF(OR(SUM(WORLDCUP!$AN$22:$AN$25)=12,WORLDCUP!$AJ$99=144),WORLDCUP!AL22,B88)</f>
        <v>1st GROUP C</v>
      </c>
      <c r="D88" s="704"/>
      <c r="E88" s="370"/>
      <c r="F88" s="370"/>
      <c r="G88" s="370"/>
      <c r="H88" s="370"/>
      <c r="I88" s="381"/>
      <c r="J88" s="370"/>
      <c r="K88" s="370"/>
      <c r="L88" s="370"/>
      <c r="M88" s="379"/>
      <c r="N88" s="377"/>
    </row>
    <row r="89" spans="1:14" ht="15" customHeight="1" x14ac:dyDescent="0.2">
      <c r="A89" s="697"/>
      <c r="B89" s="359" t="str">
        <f>Idiomas!D149</f>
        <v>2nd GROUP C</v>
      </c>
      <c r="C89" s="349" t="str">
        <f ca="1">IF(OR(SUM(WORLDCUP!$AN$22:$AN$25)=12,WORLDCUP!$AJ$99=144),WORLDCUP!AL23,B89)</f>
        <v>2nd GROUP C</v>
      </c>
      <c r="D89" s="704"/>
      <c r="E89" s="370"/>
      <c r="F89" s="370"/>
      <c r="G89" s="370"/>
      <c r="H89" s="370"/>
      <c r="I89" s="381"/>
      <c r="J89" s="370"/>
      <c r="K89" s="370"/>
      <c r="L89" s="370"/>
      <c r="M89" s="379"/>
      <c r="N89" s="377"/>
    </row>
    <row r="90" spans="1:14" ht="15" customHeight="1" x14ac:dyDescent="0.2">
      <c r="A90" s="697"/>
      <c r="B90" s="359" t="str">
        <f>Idiomas!D150</f>
        <v>3rd GROUP C</v>
      </c>
      <c r="C90" s="349" t="str">
        <f ca="1">IF(OR(SUM(WORLDCUP!$AN$22:$AN$25)=12,WORLDCUP!$AJ$99=144),WORLDCUP!AL24,B90)</f>
        <v>3rd GROUP C</v>
      </c>
      <c r="D90" s="704"/>
      <c r="E90" s="370"/>
      <c r="F90" s="370"/>
      <c r="G90" s="370"/>
      <c r="H90" s="370"/>
      <c r="I90" s="381"/>
      <c r="J90" s="370"/>
      <c r="K90" s="370"/>
      <c r="L90" s="370"/>
      <c r="M90" s="379"/>
      <c r="N90" s="377"/>
    </row>
    <row r="91" spans="1:14" ht="15" customHeight="1" x14ac:dyDescent="0.2">
      <c r="A91" s="697"/>
      <c r="B91" s="359" t="str">
        <f>Idiomas!D151</f>
        <v>4th GROUP C</v>
      </c>
      <c r="C91" s="349" t="str">
        <f ca="1">IF(OR(SUM(WORLDCUP!$AN$22:$AN$25)=12,WORLDCUP!$AJ$99=144),WORLDCUP!AL25,B91)</f>
        <v>4th GROUP C</v>
      </c>
      <c r="D91" s="704"/>
      <c r="E91" s="370"/>
      <c r="F91" s="370"/>
      <c r="G91" s="370"/>
      <c r="H91" s="370"/>
      <c r="I91" s="381"/>
      <c r="J91" s="370"/>
      <c r="K91" s="370"/>
      <c r="L91" s="370"/>
      <c r="M91" s="379"/>
      <c r="N91" s="377"/>
    </row>
    <row r="92" spans="1:14" ht="15" customHeight="1" x14ac:dyDescent="0.2">
      <c r="A92" s="707" t="s">
        <v>74</v>
      </c>
      <c r="B92" s="357" t="str">
        <f>Idiomas!D152</f>
        <v>1st GROUP D</v>
      </c>
      <c r="C92" s="349" t="str">
        <f ca="1">IF(OR(SUM(WORLDCUP!$AN$30:$AN$33)=12,WORLDCUP!$AJ$99=144),WORLDCUP!AL30,B92)</f>
        <v>1st GROUP D</v>
      </c>
      <c r="D92" s="704"/>
      <c r="E92" s="370"/>
      <c r="F92" s="370"/>
      <c r="G92" s="370"/>
      <c r="H92" s="370"/>
      <c r="I92" s="381"/>
      <c r="J92" s="370"/>
      <c r="K92" s="370"/>
      <c r="L92" s="370"/>
      <c r="M92" s="379"/>
      <c r="N92" s="377"/>
    </row>
    <row r="93" spans="1:14" ht="15" customHeight="1" x14ac:dyDescent="0.2">
      <c r="A93" s="707"/>
      <c r="B93" s="357" t="str">
        <f>Idiomas!D153</f>
        <v>2nd GROUP D</v>
      </c>
      <c r="C93" s="349" t="str">
        <f ca="1">IF(OR(SUM(WORLDCUP!$AN$30:$AN$33)=12,WORLDCUP!$AJ$99=144),WORLDCUP!AL31,B93)</f>
        <v>2nd GROUP D</v>
      </c>
      <c r="D93" s="704"/>
      <c r="E93" s="370"/>
      <c r="F93" s="370"/>
      <c r="G93" s="370"/>
      <c r="H93" s="370"/>
      <c r="I93" s="381"/>
      <c r="J93" s="370"/>
      <c r="K93" s="370"/>
      <c r="L93" s="370"/>
      <c r="M93" s="379"/>
      <c r="N93" s="377"/>
    </row>
    <row r="94" spans="1:14" ht="15" customHeight="1" x14ac:dyDescent="0.2">
      <c r="A94" s="707"/>
      <c r="B94" s="357" t="str">
        <f>Idiomas!D154</f>
        <v>3rd GROUP D</v>
      </c>
      <c r="C94" s="349" t="str">
        <f ca="1">IF(OR(SUM(WORLDCUP!$AN$30:$AN$33)=12,WORLDCUP!$AJ$99=144),WORLDCUP!AL32,B94)</f>
        <v>3rd GROUP D</v>
      </c>
      <c r="D94" s="704"/>
      <c r="E94" s="370"/>
      <c r="F94" s="370"/>
      <c r="G94" s="370"/>
      <c r="H94" s="370"/>
      <c r="I94" s="381"/>
      <c r="J94" s="370"/>
      <c r="K94" s="370"/>
      <c r="L94" s="370"/>
      <c r="M94" s="379"/>
      <c r="N94" s="377"/>
    </row>
    <row r="95" spans="1:14" ht="15" customHeight="1" x14ac:dyDescent="0.2">
      <c r="A95" s="707"/>
      <c r="B95" s="357" t="str">
        <f>Idiomas!D155</f>
        <v>4th GROUP D</v>
      </c>
      <c r="C95" s="349" t="str">
        <f ca="1">IF(OR(SUM(WORLDCUP!$AN$30:$AN$33)=12,WORLDCUP!$AJ$99=144),WORLDCUP!AL33,B95)</f>
        <v>4th GROUP D</v>
      </c>
      <c r="D95" s="704"/>
      <c r="E95" s="370"/>
      <c r="F95" s="370"/>
      <c r="G95" s="370"/>
      <c r="H95" s="370"/>
      <c r="I95" s="381"/>
      <c r="J95" s="370"/>
      <c r="K95" s="370"/>
      <c r="L95" s="370"/>
      <c r="M95" s="379"/>
      <c r="N95" s="377"/>
    </row>
    <row r="96" spans="1:14" ht="15" customHeight="1" x14ac:dyDescent="0.2">
      <c r="A96" s="697" t="s">
        <v>3</v>
      </c>
      <c r="B96" s="359" t="str">
        <f>Idiomas!D156</f>
        <v>1st GROUP E</v>
      </c>
      <c r="C96" s="349" t="str">
        <f ca="1">IF(OR(SUM(WORLDCUP!$AN$38:$AN$41)=12,WORLDCUP!$AJ$99=144),WORLDCUP!AL38,B96)</f>
        <v>1st GROUP E</v>
      </c>
      <c r="D96" s="704"/>
      <c r="E96" s="370"/>
      <c r="F96" s="370"/>
      <c r="G96" s="370"/>
      <c r="H96" s="370"/>
      <c r="I96" s="381"/>
      <c r="J96" s="370"/>
      <c r="K96" s="370"/>
      <c r="L96" s="370"/>
      <c r="M96" s="379"/>
      <c r="N96" s="377"/>
    </row>
    <row r="97" spans="1:14" ht="15" customHeight="1" x14ac:dyDescent="0.2">
      <c r="A97" s="697"/>
      <c r="B97" s="359" t="str">
        <f>Idiomas!D157</f>
        <v>2nd GROUP E</v>
      </c>
      <c r="C97" s="349" t="str">
        <f ca="1">IF(OR(SUM(WORLDCUP!$AN$38:$AN$41)=12,WORLDCUP!$AJ$99=144),WORLDCUP!AL39,B97)</f>
        <v>2nd GROUP E</v>
      </c>
      <c r="D97" s="704"/>
      <c r="E97" s="370"/>
      <c r="F97" s="370"/>
      <c r="G97" s="370"/>
      <c r="H97" s="370"/>
      <c r="I97" s="381"/>
      <c r="J97" s="370"/>
      <c r="K97" s="370"/>
      <c r="L97" s="370"/>
      <c r="M97" s="379"/>
      <c r="N97" s="377"/>
    </row>
    <row r="98" spans="1:14" ht="15" customHeight="1" x14ac:dyDescent="0.2">
      <c r="A98" s="697"/>
      <c r="B98" s="359" t="str">
        <f>Idiomas!D158</f>
        <v>3rd GROUP E</v>
      </c>
      <c r="C98" s="349" t="str">
        <f ca="1">IF(OR(SUM(WORLDCUP!$AN$38:$AN$41)=12,WORLDCUP!$AJ$99=144),WORLDCUP!AL40,B98)</f>
        <v>3rd GROUP E</v>
      </c>
      <c r="D98" s="704"/>
      <c r="E98" s="370"/>
      <c r="F98" s="370"/>
      <c r="G98" s="370"/>
      <c r="H98" s="370"/>
      <c r="I98" s="381"/>
      <c r="J98" s="370"/>
      <c r="K98" s="370"/>
      <c r="L98" s="370"/>
      <c r="M98" s="379"/>
      <c r="N98" s="377"/>
    </row>
    <row r="99" spans="1:14" ht="15" customHeight="1" x14ac:dyDescent="0.2">
      <c r="A99" s="697"/>
      <c r="B99" s="359" t="str">
        <f>Idiomas!D159</f>
        <v>4th GROUP E</v>
      </c>
      <c r="C99" s="349" t="str">
        <f ca="1">IF(OR(SUM(WORLDCUP!$AN$38:$AN$41)=12,WORLDCUP!$AJ$99=144),WORLDCUP!AL41,B99)</f>
        <v>4th GROUP E</v>
      </c>
      <c r="D99" s="704"/>
      <c r="E99" s="370"/>
      <c r="F99" s="370"/>
      <c r="G99" s="370"/>
      <c r="H99" s="370"/>
      <c r="I99" s="381"/>
      <c r="J99" s="370"/>
      <c r="K99" s="370"/>
      <c r="L99" s="370"/>
      <c r="M99" s="379"/>
      <c r="N99" s="377"/>
    </row>
    <row r="100" spans="1:14" ht="15" customHeight="1" x14ac:dyDescent="0.2">
      <c r="A100" s="707" t="s">
        <v>4</v>
      </c>
      <c r="B100" s="357" t="str">
        <f>Idiomas!D160</f>
        <v>1st GROUP F</v>
      </c>
      <c r="C100" s="349" t="str">
        <f ca="1">IF(OR(SUM(WORLDCUP!$AN$46:$AN$49)=12,WORLDCUP!$AJ$99=144),WORLDCUP!AL46,B100)</f>
        <v>1st GROUP F</v>
      </c>
      <c r="D100" s="704"/>
      <c r="E100" s="370"/>
      <c r="F100" s="370"/>
      <c r="G100" s="370"/>
      <c r="H100" s="370"/>
      <c r="I100" s="381"/>
      <c r="J100" s="370"/>
      <c r="K100" s="370"/>
      <c r="L100" s="370"/>
      <c r="M100" s="379"/>
      <c r="N100" s="377"/>
    </row>
    <row r="101" spans="1:14" ht="15" customHeight="1" x14ac:dyDescent="0.2">
      <c r="A101" s="707"/>
      <c r="B101" s="357" t="str">
        <f>Idiomas!D161</f>
        <v>2nd GROUP F</v>
      </c>
      <c r="C101" s="349" t="str">
        <f ca="1">IF(OR(SUM(WORLDCUP!$AN$46:$AN$49)=12,WORLDCUP!$AJ$99=144),WORLDCUP!AL47,B101)</f>
        <v>2nd GROUP F</v>
      </c>
      <c r="D101" s="704"/>
      <c r="E101" s="370"/>
      <c r="F101" s="370"/>
      <c r="G101" s="370"/>
      <c r="H101" s="370"/>
      <c r="I101" s="381"/>
      <c r="J101" s="370"/>
      <c r="K101" s="370"/>
      <c r="L101" s="370"/>
      <c r="M101" s="379"/>
      <c r="N101" s="377"/>
    </row>
    <row r="102" spans="1:14" ht="15" customHeight="1" x14ac:dyDescent="0.2">
      <c r="A102" s="707"/>
      <c r="B102" s="357" t="str">
        <f>Idiomas!D162</f>
        <v>3rd GROUP F</v>
      </c>
      <c r="C102" s="349" t="str">
        <f ca="1">IF(OR(SUM(WORLDCUP!$AN$46:$AN$49)=12,WORLDCUP!$AJ$99=144),WORLDCUP!AL48,B102)</f>
        <v>3rd GROUP F</v>
      </c>
      <c r="D102" s="704"/>
      <c r="E102" s="370"/>
      <c r="F102" s="370"/>
      <c r="G102" s="370"/>
      <c r="H102" s="370"/>
      <c r="I102" s="381"/>
      <c r="J102" s="370"/>
      <c r="K102" s="370"/>
      <c r="L102" s="370"/>
      <c r="M102" s="379"/>
      <c r="N102" s="377"/>
    </row>
    <row r="103" spans="1:14" ht="15" customHeight="1" x14ac:dyDescent="0.2">
      <c r="A103" s="707"/>
      <c r="B103" s="357" t="str">
        <f>Idiomas!D163</f>
        <v>4th GROUP F</v>
      </c>
      <c r="C103" s="349" t="str">
        <f ca="1">IF(OR(SUM(WORLDCUP!$AN$46:$AN$49)=12,WORLDCUP!$AJ$99=144),WORLDCUP!AL49,B103)</f>
        <v>4th GROUP F</v>
      </c>
      <c r="D103" s="704"/>
      <c r="E103" s="370"/>
      <c r="F103" s="370"/>
      <c r="G103" s="370"/>
      <c r="H103" s="370"/>
      <c r="I103" s="381"/>
      <c r="J103" s="370"/>
      <c r="K103" s="370"/>
      <c r="L103" s="370"/>
      <c r="M103" s="379"/>
      <c r="N103" s="377"/>
    </row>
    <row r="104" spans="1:14" ht="15" customHeight="1" x14ac:dyDescent="0.2">
      <c r="A104" s="697" t="s">
        <v>6</v>
      </c>
      <c r="B104" s="359" t="str">
        <f>Idiomas!D164</f>
        <v>1st GROUP G</v>
      </c>
      <c r="C104" s="349" t="str">
        <f ca="1">IF(OR(SUM(WORLDCUP!$AN$54:$AN$57)=12,WORLDCUP!$AJ$99=144),WORLDCUP!AL54,B104)</f>
        <v>1st GROUP G</v>
      </c>
      <c r="D104" s="704"/>
      <c r="E104" s="370"/>
      <c r="F104" s="370"/>
      <c r="G104" s="370"/>
      <c r="H104" s="370"/>
      <c r="I104" s="381"/>
      <c r="J104" s="370"/>
      <c r="K104" s="370"/>
      <c r="L104" s="370"/>
      <c r="M104" s="379"/>
      <c r="N104" s="377"/>
    </row>
    <row r="105" spans="1:14" ht="15" customHeight="1" x14ac:dyDescent="0.2">
      <c r="A105" s="697"/>
      <c r="B105" s="359" t="str">
        <f>Idiomas!D165</f>
        <v>2nd GROUP G</v>
      </c>
      <c r="C105" s="349" t="str">
        <f ca="1">IF(OR(SUM(WORLDCUP!$AN$54:$AN$57)=12,WORLDCUP!$AJ$99=144),WORLDCUP!AL55,B105)</f>
        <v>2nd GROUP G</v>
      </c>
      <c r="D105" s="704"/>
      <c r="E105" s="370"/>
      <c r="F105" s="370"/>
      <c r="G105" s="370"/>
      <c r="H105" s="370"/>
      <c r="I105" s="381"/>
      <c r="J105" s="370"/>
      <c r="K105" s="370"/>
      <c r="L105" s="370"/>
      <c r="M105" s="379"/>
      <c r="N105" s="377"/>
    </row>
    <row r="106" spans="1:14" ht="15" customHeight="1" x14ac:dyDescent="0.2">
      <c r="A106" s="697"/>
      <c r="B106" s="359" t="str">
        <f>Idiomas!D166</f>
        <v>3rd GROUP G</v>
      </c>
      <c r="C106" s="349" t="str">
        <f ca="1">IF(OR(SUM(WORLDCUP!$AN$54:$AN$57)=12,WORLDCUP!$AJ$99=144),WORLDCUP!AL56,B106)</f>
        <v>3rd GROUP G</v>
      </c>
      <c r="D106" s="704"/>
      <c r="E106" s="370"/>
      <c r="F106" s="370"/>
      <c r="G106" s="370"/>
      <c r="H106" s="370"/>
      <c r="I106" s="381"/>
      <c r="J106" s="370"/>
      <c r="K106" s="370"/>
      <c r="L106" s="370"/>
      <c r="M106" s="379"/>
      <c r="N106" s="377"/>
    </row>
    <row r="107" spans="1:14" ht="15" customHeight="1" x14ac:dyDescent="0.2">
      <c r="A107" s="697"/>
      <c r="B107" s="359" t="str">
        <f>Idiomas!D167</f>
        <v>4th GROUP G</v>
      </c>
      <c r="C107" s="349" t="str">
        <f ca="1">IF(OR(SUM(WORLDCUP!$AN$54:$AN$57)=12,WORLDCUP!$AJ$99=144),WORLDCUP!AL57,B107)</f>
        <v>4th GROUP G</v>
      </c>
      <c r="D107" s="704"/>
      <c r="E107" s="370"/>
      <c r="F107" s="370"/>
      <c r="G107" s="370"/>
      <c r="H107" s="370"/>
      <c r="I107" s="381"/>
      <c r="J107" s="370"/>
      <c r="K107" s="370"/>
      <c r="L107" s="370"/>
      <c r="M107" s="379"/>
      <c r="N107" s="377"/>
    </row>
    <row r="108" spans="1:14" ht="15" customHeight="1" x14ac:dyDescent="0.2">
      <c r="A108" s="707" t="s">
        <v>447</v>
      </c>
      <c r="B108" s="357" t="str">
        <f>Idiomas!D168</f>
        <v>1st GROUP H</v>
      </c>
      <c r="C108" s="349" t="str">
        <f ca="1">IF(OR(SUM(WORLDCUP!$AN$62:$AN$65)=12,WORLDCUP!$AJ$99=144),WORLDCUP!AL62,B108)</f>
        <v>1st GROUP H</v>
      </c>
      <c r="D108" s="704"/>
      <c r="E108" s="370"/>
      <c r="F108" s="370"/>
      <c r="G108" s="370"/>
      <c r="H108" s="370"/>
      <c r="I108" s="381"/>
      <c r="J108" s="370"/>
      <c r="K108" s="370"/>
      <c r="L108" s="370"/>
      <c r="M108" s="379"/>
      <c r="N108" s="377"/>
    </row>
    <row r="109" spans="1:14" ht="15" customHeight="1" x14ac:dyDescent="0.2">
      <c r="A109" s="707"/>
      <c r="B109" s="357" t="str">
        <f>Idiomas!D169</f>
        <v>2nd GROUP H</v>
      </c>
      <c r="C109" s="349" t="str">
        <f ca="1">IF(OR(SUM(WORLDCUP!$AN$62:$AN$65)=12,WORLDCUP!$AJ$99=144),WORLDCUP!AL63,B109)</f>
        <v>2nd GROUP H</v>
      </c>
      <c r="D109" s="704"/>
      <c r="E109" s="370"/>
      <c r="F109" s="370"/>
      <c r="G109" s="370"/>
      <c r="H109" s="370"/>
      <c r="I109" s="381"/>
      <c r="J109" s="370"/>
      <c r="K109" s="370"/>
      <c r="L109" s="370"/>
      <c r="M109" s="379"/>
      <c r="N109" s="377"/>
    </row>
    <row r="110" spans="1:14" ht="15" customHeight="1" x14ac:dyDescent="0.2">
      <c r="A110" s="707"/>
      <c r="B110" s="357" t="str">
        <f>Idiomas!D170</f>
        <v>3rd GROUP H</v>
      </c>
      <c r="C110" s="349" t="str">
        <f ca="1">IF(OR(SUM(WORLDCUP!$AN$62:$AN$65)=12,WORLDCUP!$AJ$99=144),WORLDCUP!AL64,B110)</f>
        <v>3rd GROUP H</v>
      </c>
      <c r="D110" s="704"/>
      <c r="E110" s="370"/>
      <c r="F110" s="370"/>
      <c r="G110" s="370"/>
      <c r="H110" s="370"/>
      <c r="I110" s="381"/>
      <c r="J110" s="370"/>
      <c r="K110" s="370"/>
      <c r="L110" s="370"/>
      <c r="M110" s="379"/>
      <c r="N110" s="377"/>
    </row>
    <row r="111" spans="1:14" ht="15" customHeight="1" x14ac:dyDescent="0.2">
      <c r="A111" s="707"/>
      <c r="B111" s="357" t="str">
        <f>Idiomas!D171</f>
        <v>4th GROUP H</v>
      </c>
      <c r="C111" s="349" t="str">
        <f ca="1">IF(OR(SUM(WORLDCUP!$AN$62:$AN$65)=12,WORLDCUP!$AJ$99=144),WORLDCUP!AL65,B111)</f>
        <v>4th GROUP H</v>
      </c>
      <c r="D111" s="704"/>
      <c r="E111" s="370"/>
      <c r="F111" s="370"/>
      <c r="G111" s="370"/>
      <c r="H111" s="370"/>
      <c r="I111" s="381"/>
      <c r="J111" s="370"/>
      <c r="K111" s="370"/>
      <c r="L111" s="370"/>
      <c r="M111" s="379"/>
      <c r="N111" s="377"/>
    </row>
    <row r="112" spans="1:14" ht="15" customHeight="1" x14ac:dyDescent="0.2">
      <c r="A112" s="697" t="s">
        <v>448</v>
      </c>
      <c r="B112" s="359" t="str">
        <f>Idiomas!D172</f>
        <v>1st GROUP I</v>
      </c>
      <c r="C112" s="349" t="str">
        <f ca="1">IF(OR(SUM(WORLDCUP!$AN$70:$AN$73)=12,WORLDCUP!$AJ$99=144),WORLDCUP!AL70,B112)</f>
        <v>1st GROUP I</v>
      </c>
      <c r="D112" s="704"/>
      <c r="E112" s="370"/>
      <c r="F112" s="370"/>
      <c r="G112" s="370"/>
      <c r="H112" s="370"/>
      <c r="I112" s="381"/>
      <c r="J112" s="370"/>
      <c r="K112" s="370"/>
      <c r="L112" s="370"/>
      <c r="M112" s="379"/>
      <c r="N112" s="377"/>
    </row>
    <row r="113" spans="1:14" ht="15" customHeight="1" x14ac:dyDescent="0.2">
      <c r="A113" s="697"/>
      <c r="B113" s="359" t="str">
        <f>Idiomas!D173</f>
        <v>2nd GROUP I</v>
      </c>
      <c r="C113" s="349" t="str">
        <f ca="1">IF(OR(SUM(WORLDCUP!$AN$70:$AN$73)=12,WORLDCUP!$AJ$99=144),WORLDCUP!AL71,B113)</f>
        <v>2nd GROUP I</v>
      </c>
      <c r="D113" s="704"/>
      <c r="E113" s="370"/>
      <c r="F113" s="370"/>
      <c r="G113" s="370"/>
      <c r="H113" s="370"/>
      <c r="I113" s="381"/>
      <c r="J113" s="370"/>
      <c r="K113" s="370"/>
      <c r="L113" s="370"/>
      <c r="M113" s="379"/>
      <c r="N113" s="377"/>
    </row>
    <row r="114" spans="1:14" ht="15" customHeight="1" x14ac:dyDescent="0.2">
      <c r="A114" s="697"/>
      <c r="B114" s="359" t="str">
        <f>Idiomas!D174</f>
        <v>3rd GROUP I</v>
      </c>
      <c r="C114" s="349" t="str">
        <f ca="1">IF(OR(SUM(WORLDCUP!$AN$70:$AN$73)=12,WORLDCUP!$AJ$99=144),WORLDCUP!AL72,B114)</f>
        <v>3rd GROUP I</v>
      </c>
      <c r="D114" s="704"/>
      <c r="E114" s="370"/>
      <c r="F114" s="370"/>
      <c r="G114" s="370"/>
      <c r="H114" s="370"/>
      <c r="I114" s="381"/>
      <c r="J114" s="370"/>
      <c r="K114" s="370"/>
      <c r="L114" s="370"/>
      <c r="M114" s="379"/>
      <c r="N114" s="377"/>
    </row>
    <row r="115" spans="1:14" ht="15" customHeight="1" x14ac:dyDescent="0.2">
      <c r="A115" s="697"/>
      <c r="B115" s="359" t="str">
        <f>Idiomas!D175</f>
        <v>4th GROUP I</v>
      </c>
      <c r="C115" s="349" t="str">
        <f ca="1">IF(OR(SUM(WORLDCUP!$AN$70:$AN$73)=12,WORLDCUP!$AJ$99=144),WORLDCUP!AL73,B115)</f>
        <v>4th GROUP I</v>
      </c>
      <c r="D115" s="704"/>
      <c r="E115" s="370"/>
      <c r="F115" s="370"/>
      <c r="G115" s="370"/>
      <c r="H115" s="370"/>
      <c r="I115" s="381"/>
      <c r="J115" s="370"/>
      <c r="K115" s="370"/>
      <c r="L115" s="370"/>
      <c r="M115" s="379"/>
      <c r="N115" s="377"/>
    </row>
    <row r="116" spans="1:14" ht="15" customHeight="1" x14ac:dyDescent="0.2">
      <c r="A116" s="707" t="s">
        <v>5</v>
      </c>
      <c r="B116" s="357" t="str">
        <f>Idiomas!D176</f>
        <v>1st GROUP J</v>
      </c>
      <c r="C116" s="349" t="str">
        <f ca="1">IF(OR(SUM(WORLDCUP!$AN$78:$AN$81)=12,WORLDCUP!$AJ$99=144),WORLDCUP!AL78,B116)</f>
        <v>1st GROUP J</v>
      </c>
      <c r="D116" s="704"/>
      <c r="E116" s="370"/>
      <c r="F116" s="370"/>
      <c r="G116" s="370"/>
      <c r="H116" s="370"/>
      <c r="I116" s="381"/>
      <c r="J116" s="370"/>
      <c r="K116" s="370"/>
      <c r="L116" s="370"/>
      <c r="M116" s="379"/>
      <c r="N116" s="377"/>
    </row>
    <row r="117" spans="1:14" ht="15" customHeight="1" x14ac:dyDescent="0.2">
      <c r="A117" s="707"/>
      <c r="B117" s="357" t="str">
        <f>Idiomas!D177</f>
        <v>2nd GROUP J</v>
      </c>
      <c r="C117" s="349" t="str">
        <f ca="1">IF(OR(SUM(WORLDCUP!$AN$78:$AN$81)=12,WORLDCUP!$AJ$99=144),WORLDCUP!AL79,B117)</f>
        <v>2nd GROUP J</v>
      </c>
      <c r="D117" s="704"/>
      <c r="E117" s="370"/>
      <c r="F117" s="370"/>
      <c r="G117" s="370"/>
      <c r="H117" s="370"/>
      <c r="I117" s="381"/>
      <c r="J117" s="370"/>
      <c r="K117" s="370"/>
      <c r="L117" s="370"/>
      <c r="M117" s="379"/>
      <c r="N117" s="377"/>
    </row>
    <row r="118" spans="1:14" ht="15" customHeight="1" x14ac:dyDescent="0.2">
      <c r="A118" s="707"/>
      <c r="B118" s="357" t="str">
        <f>Idiomas!D178</f>
        <v>3rd GROUP J</v>
      </c>
      <c r="C118" s="349" t="str">
        <f ca="1">IF(OR(SUM(WORLDCUP!$AN$78:$AN$81)=12,WORLDCUP!$AJ$99=144),WORLDCUP!AL80,B118)</f>
        <v>3rd GROUP J</v>
      </c>
      <c r="D118" s="704"/>
      <c r="E118" s="370"/>
      <c r="F118" s="370"/>
      <c r="G118" s="370"/>
      <c r="H118" s="370"/>
      <c r="I118" s="381"/>
      <c r="J118" s="370"/>
      <c r="K118" s="370"/>
      <c r="L118" s="370"/>
      <c r="M118" s="379"/>
      <c r="N118" s="377"/>
    </row>
    <row r="119" spans="1:14" ht="15" customHeight="1" x14ac:dyDescent="0.2">
      <c r="A119" s="707"/>
      <c r="B119" s="357" t="str">
        <f>Idiomas!D179</f>
        <v>4th GROUP J</v>
      </c>
      <c r="C119" s="349" t="str">
        <f ca="1">IF(OR(SUM(WORLDCUP!$AN$78:$AN$81)=12,WORLDCUP!$AJ$99=144),WORLDCUP!AL81,B119)</f>
        <v>4th GROUP J</v>
      </c>
      <c r="D119" s="704"/>
      <c r="E119" s="370"/>
      <c r="F119" s="370"/>
      <c r="G119" s="370"/>
      <c r="H119" s="370"/>
      <c r="I119" s="381"/>
      <c r="J119" s="370"/>
      <c r="K119" s="370"/>
      <c r="L119" s="370"/>
      <c r="M119" s="379"/>
      <c r="N119" s="377"/>
    </row>
    <row r="120" spans="1:14" ht="15" customHeight="1" x14ac:dyDescent="0.2">
      <c r="A120" s="697" t="s">
        <v>449</v>
      </c>
      <c r="B120" s="359" t="str">
        <f>Idiomas!D180</f>
        <v>1st GROUP K</v>
      </c>
      <c r="C120" s="349" t="str">
        <f ca="1">IF(OR(SUM(WORLDCUP!$AN$86:$AN$89)=12,WORLDCUP!$AJ$99=144),WORLDCUP!AL86,B120)</f>
        <v>1st GROUP K</v>
      </c>
      <c r="D120" s="704"/>
      <c r="E120" s="370"/>
      <c r="F120" s="370"/>
      <c r="G120" s="370"/>
      <c r="H120" s="370"/>
      <c r="I120" s="381"/>
      <c r="J120" s="370"/>
      <c r="K120" s="370"/>
      <c r="L120" s="370"/>
      <c r="M120" s="379"/>
      <c r="N120" s="377"/>
    </row>
    <row r="121" spans="1:14" ht="15" customHeight="1" x14ac:dyDescent="0.2">
      <c r="A121" s="697"/>
      <c r="B121" s="359" t="str">
        <f>Idiomas!D181</f>
        <v>2nd GROUP K</v>
      </c>
      <c r="C121" s="349" t="str">
        <f ca="1">IF(OR(SUM(WORLDCUP!$AN$86:$AN$89)=12,WORLDCUP!$AJ$99=144),WORLDCUP!AL87,B121)</f>
        <v>2nd GROUP K</v>
      </c>
      <c r="D121" s="704"/>
      <c r="E121" s="370"/>
      <c r="F121" s="370"/>
      <c r="G121" s="370"/>
      <c r="H121" s="370"/>
      <c r="I121" s="381"/>
      <c r="J121" s="370"/>
      <c r="K121" s="370"/>
      <c r="L121" s="370"/>
      <c r="M121" s="379"/>
      <c r="N121" s="377"/>
    </row>
    <row r="122" spans="1:14" ht="15" customHeight="1" x14ac:dyDescent="0.2">
      <c r="A122" s="697"/>
      <c r="B122" s="359" t="str">
        <f>Idiomas!D182</f>
        <v>3rd GROUP K</v>
      </c>
      <c r="C122" s="349" t="str">
        <f ca="1">IF(OR(SUM(WORLDCUP!$AN$86:$AN$89)=12,WORLDCUP!$AJ$99=144),WORLDCUP!AL88,B122)</f>
        <v>3rd GROUP K</v>
      </c>
      <c r="D122" s="704"/>
      <c r="E122" s="370"/>
      <c r="F122" s="370"/>
      <c r="G122" s="370"/>
      <c r="H122" s="370"/>
      <c r="I122" s="381"/>
      <c r="J122" s="370"/>
      <c r="K122" s="370"/>
      <c r="L122" s="370"/>
      <c r="M122" s="379"/>
      <c r="N122" s="377"/>
    </row>
    <row r="123" spans="1:14" ht="15" customHeight="1" x14ac:dyDescent="0.2">
      <c r="A123" s="697"/>
      <c r="B123" s="359" t="str">
        <f>Idiomas!D183</f>
        <v>4th GROUP K</v>
      </c>
      <c r="C123" s="349" t="str">
        <f ca="1">IF(OR(SUM(WORLDCUP!$AN$86:$AN$89)=12,WORLDCUP!$AJ$99=144),WORLDCUP!AL89,B123)</f>
        <v>4th GROUP K</v>
      </c>
      <c r="D123" s="704"/>
      <c r="E123" s="370"/>
      <c r="F123" s="370"/>
      <c r="G123" s="370"/>
      <c r="H123" s="370"/>
      <c r="I123" s="381"/>
      <c r="J123" s="370"/>
      <c r="K123" s="370"/>
      <c r="L123" s="370"/>
      <c r="M123" s="379"/>
      <c r="N123" s="377"/>
    </row>
    <row r="124" spans="1:14" ht="15" customHeight="1" x14ac:dyDescent="0.2">
      <c r="A124" s="707" t="s">
        <v>247</v>
      </c>
      <c r="B124" s="357" t="str">
        <f>Idiomas!D184</f>
        <v>1st GROUP L</v>
      </c>
      <c r="C124" s="349" t="str">
        <f ca="1">IF(OR(SUM(WORLDCUP!$AN$94:$AN$97)=12,WORLDCUP!$AJ$99=144),WORLDCUP!AL94,B124)</f>
        <v>1st GROUP L</v>
      </c>
      <c r="D124" s="704"/>
      <c r="E124" s="370"/>
      <c r="F124" s="370"/>
      <c r="G124" s="370"/>
      <c r="H124" s="370"/>
      <c r="I124" s="381"/>
      <c r="J124" s="370"/>
      <c r="K124" s="370"/>
      <c r="L124" s="370"/>
      <c r="M124" s="379"/>
      <c r="N124" s="377"/>
    </row>
    <row r="125" spans="1:14" ht="15" customHeight="1" x14ac:dyDescent="0.2">
      <c r="A125" s="707"/>
      <c r="B125" s="357" t="str">
        <f>Idiomas!D185</f>
        <v>2nd GROUP L</v>
      </c>
      <c r="C125" s="349" t="str">
        <f ca="1">IF(OR(SUM(WORLDCUP!$AN$94:$AN$97)=12,WORLDCUP!$AJ$99=144),WORLDCUP!AL95,B125)</f>
        <v>2nd GROUP L</v>
      </c>
      <c r="D125" s="704"/>
      <c r="E125" s="370"/>
      <c r="F125" s="370"/>
      <c r="G125" s="370"/>
      <c r="H125" s="370"/>
      <c r="I125" s="381"/>
      <c r="J125" s="370"/>
      <c r="K125" s="370"/>
      <c r="L125" s="370"/>
      <c r="M125" s="379"/>
      <c r="N125" s="377"/>
    </row>
    <row r="126" spans="1:14" ht="15" customHeight="1" x14ac:dyDescent="0.2">
      <c r="A126" s="707"/>
      <c r="B126" s="357" t="str">
        <f>Idiomas!D186</f>
        <v>3rd GROUP L</v>
      </c>
      <c r="C126" s="349" t="str">
        <f ca="1">IF(OR(SUM(WORLDCUP!$AN$94:$AN$97)=12,WORLDCUP!$AJ$99=144),WORLDCUP!AL96,B126)</f>
        <v>3rd GROUP L</v>
      </c>
      <c r="D126" s="704"/>
      <c r="E126" s="370"/>
      <c r="F126" s="370"/>
      <c r="G126" s="370"/>
      <c r="H126" s="370"/>
      <c r="I126" s="381"/>
      <c r="J126" s="370"/>
      <c r="K126" s="370"/>
      <c r="L126" s="370"/>
      <c r="M126" s="379"/>
      <c r="N126" s="377"/>
    </row>
    <row r="127" spans="1:14" ht="15" customHeight="1" x14ac:dyDescent="0.2">
      <c r="A127" s="707"/>
      <c r="B127" s="357" t="str">
        <f>Idiomas!D187</f>
        <v>4th GROUP L</v>
      </c>
      <c r="C127" s="349" t="str">
        <f ca="1">IF(OR(SUM(WORLDCUP!$AN$94:$AN$97)=12,WORLDCUP!$AJ$99=144),WORLDCUP!AL97,B127)</f>
        <v>4th GROUP L</v>
      </c>
      <c r="D127" s="704"/>
      <c r="E127" s="370"/>
      <c r="F127" s="370"/>
      <c r="G127" s="370"/>
      <c r="H127" s="370"/>
      <c r="I127" s="381"/>
      <c r="J127" s="370"/>
      <c r="K127" s="370"/>
      <c r="L127" s="370"/>
      <c r="M127" s="379"/>
      <c r="N127" s="377"/>
    </row>
    <row r="128" spans="1:14" ht="15" customHeight="1" x14ac:dyDescent="0.2">
      <c r="A128" s="353"/>
      <c r="B128" s="353"/>
      <c r="C128" s="350"/>
      <c r="D128" s="704"/>
      <c r="E128" s="370"/>
      <c r="F128" s="370"/>
      <c r="G128" s="370"/>
      <c r="H128" s="370"/>
      <c r="I128" s="381"/>
      <c r="J128" s="370"/>
      <c r="K128" s="370"/>
      <c r="L128" s="370"/>
      <c r="M128" s="379"/>
      <c r="N128" s="377"/>
    </row>
    <row r="129" spans="1:14" ht="19" customHeight="1" x14ac:dyDescent="0.25">
      <c r="A129" s="353"/>
      <c r="B129" s="358" t="str">
        <f>Idiomas!D127</f>
        <v>QUALIFIED FOR ROUND OF 32</v>
      </c>
      <c r="C129" s="350"/>
      <c r="D129" s="704"/>
      <c r="E129" s="370"/>
      <c r="F129" s="370"/>
      <c r="G129" s="370"/>
      <c r="H129" s="370"/>
      <c r="I129" s="381"/>
      <c r="J129" s="370"/>
      <c r="K129" s="370"/>
      <c r="L129" s="370"/>
      <c r="M129" s="379"/>
      <c r="N129" s="377"/>
    </row>
    <row r="130" spans="1:14" ht="15" customHeight="1" x14ac:dyDescent="0.2">
      <c r="A130" s="703" t="s">
        <v>493</v>
      </c>
      <c r="B130" s="360" t="str">
        <f>Idiomas!$D$188</f>
        <v>16-Finalist</v>
      </c>
      <c r="C130" s="349" t="str">
        <f ca="1">WORLDCUP!AA101</f>
        <v>2A</v>
      </c>
      <c r="D130" s="704"/>
      <c r="E130" s="370"/>
      <c r="F130" s="370"/>
      <c r="G130" s="370"/>
      <c r="H130" s="370"/>
      <c r="I130" s="381"/>
      <c r="J130" s="370"/>
      <c r="K130" s="370"/>
      <c r="L130" s="370"/>
      <c r="M130" s="379"/>
      <c r="N130" s="377"/>
    </row>
    <row r="131" spans="1:14" ht="15" customHeight="1" x14ac:dyDescent="0.2">
      <c r="A131" s="703"/>
      <c r="B131" s="360" t="str">
        <f>B130</f>
        <v>16-Finalist</v>
      </c>
      <c r="C131" s="349" t="str">
        <f ca="1">WORLDCUP!AA102</f>
        <v>1C</v>
      </c>
      <c r="D131" s="704"/>
      <c r="E131" s="370"/>
      <c r="F131" s="370"/>
      <c r="G131" s="370"/>
      <c r="H131" s="370"/>
      <c r="I131" s="381"/>
      <c r="J131" s="370"/>
      <c r="K131" s="370"/>
      <c r="L131" s="370"/>
      <c r="M131" s="379"/>
      <c r="N131" s="377"/>
    </row>
    <row r="132" spans="1:14" ht="15" customHeight="1" x14ac:dyDescent="0.2">
      <c r="A132" s="703"/>
      <c r="B132" s="360" t="str">
        <f t="shared" ref="B132:B145" si="0">B131</f>
        <v>16-Finalist</v>
      </c>
      <c r="C132" s="349" t="str">
        <f ca="1">WORLDCUP!AA103</f>
        <v>1E</v>
      </c>
      <c r="D132" s="704"/>
      <c r="E132" s="370"/>
      <c r="F132" s="370"/>
      <c r="G132" s="370"/>
      <c r="H132" s="370"/>
      <c r="I132" s="381"/>
      <c r="J132" s="370"/>
      <c r="K132" s="370"/>
      <c r="L132" s="370"/>
      <c r="M132" s="379"/>
      <c r="N132" s="377"/>
    </row>
    <row r="133" spans="1:14" ht="15" customHeight="1" x14ac:dyDescent="0.2">
      <c r="A133" s="703"/>
      <c r="B133" s="360" t="str">
        <f t="shared" si="0"/>
        <v>16-Finalist</v>
      </c>
      <c r="C133" s="349" t="str">
        <f ca="1">WORLDCUP!AA104</f>
        <v>1F</v>
      </c>
      <c r="D133" s="704"/>
      <c r="E133" s="370"/>
      <c r="F133" s="370"/>
      <c r="G133" s="370"/>
      <c r="H133" s="370"/>
      <c r="I133" s="381"/>
      <c r="J133" s="370"/>
      <c r="K133" s="370"/>
      <c r="L133" s="370"/>
      <c r="M133" s="379"/>
      <c r="N133" s="377"/>
    </row>
    <row r="134" spans="1:14" ht="15" customHeight="1" x14ac:dyDescent="0.2">
      <c r="A134" s="703"/>
      <c r="B134" s="360" t="str">
        <f t="shared" si="0"/>
        <v>16-Finalist</v>
      </c>
      <c r="C134" s="349" t="str">
        <f ca="1">WORLDCUP!AA105</f>
        <v>2E</v>
      </c>
      <c r="D134" s="704"/>
      <c r="E134" s="370"/>
      <c r="F134" s="370"/>
      <c r="G134" s="370"/>
      <c r="H134" s="370"/>
      <c r="I134" s="381"/>
      <c r="J134" s="370"/>
      <c r="K134" s="370"/>
      <c r="L134" s="370"/>
      <c r="M134" s="379"/>
      <c r="N134" s="377"/>
    </row>
    <row r="135" spans="1:14" ht="15" customHeight="1" x14ac:dyDescent="0.2">
      <c r="A135" s="703"/>
      <c r="B135" s="360" t="str">
        <f t="shared" si="0"/>
        <v>16-Finalist</v>
      </c>
      <c r="C135" s="349" t="str">
        <f ca="1">WORLDCUP!AA106</f>
        <v>1I</v>
      </c>
      <c r="D135" s="704"/>
      <c r="E135" s="370"/>
      <c r="F135" s="370"/>
      <c r="G135" s="370"/>
      <c r="H135" s="370"/>
      <c r="I135" s="381"/>
      <c r="J135" s="370"/>
      <c r="K135" s="370"/>
      <c r="L135" s="370"/>
      <c r="M135" s="379"/>
      <c r="N135" s="377"/>
    </row>
    <row r="136" spans="1:14" ht="15" customHeight="1" x14ac:dyDescent="0.2">
      <c r="A136" s="703"/>
      <c r="B136" s="360" t="str">
        <f t="shared" si="0"/>
        <v>16-Finalist</v>
      </c>
      <c r="C136" s="349" t="str">
        <f ca="1">WORLDCUP!AA107</f>
        <v>1A</v>
      </c>
      <c r="D136" s="704"/>
      <c r="E136" s="370"/>
      <c r="F136" s="370"/>
      <c r="G136" s="370"/>
      <c r="H136" s="370"/>
      <c r="I136" s="381"/>
      <c r="J136" s="370"/>
      <c r="K136" s="370"/>
      <c r="L136" s="370"/>
      <c r="M136" s="379"/>
      <c r="N136" s="377"/>
    </row>
    <row r="137" spans="1:14" ht="15" customHeight="1" x14ac:dyDescent="0.2">
      <c r="A137" s="703"/>
      <c r="B137" s="360" t="str">
        <f t="shared" si="0"/>
        <v>16-Finalist</v>
      </c>
      <c r="C137" s="349" t="str">
        <f ca="1">WORLDCUP!AA108</f>
        <v>1L</v>
      </c>
      <c r="D137" s="704"/>
      <c r="E137" s="370"/>
      <c r="F137" s="370"/>
      <c r="G137" s="370"/>
      <c r="H137" s="370"/>
      <c r="I137" s="381"/>
      <c r="J137" s="370"/>
      <c r="K137" s="370"/>
      <c r="L137" s="370"/>
      <c r="M137" s="379"/>
      <c r="N137" s="377"/>
    </row>
    <row r="138" spans="1:14" ht="15" customHeight="1" x14ac:dyDescent="0.2">
      <c r="A138" s="703"/>
      <c r="B138" s="360" t="str">
        <f t="shared" si="0"/>
        <v>16-Finalist</v>
      </c>
      <c r="C138" s="349" t="str">
        <f ca="1">WORLDCUP!AA109</f>
        <v>1G</v>
      </c>
      <c r="D138" s="704"/>
      <c r="E138" s="370"/>
      <c r="F138" s="370"/>
      <c r="G138" s="370"/>
      <c r="H138" s="370"/>
      <c r="I138" s="381"/>
      <c r="J138" s="370"/>
      <c r="K138" s="370"/>
      <c r="L138" s="370"/>
      <c r="M138" s="379"/>
      <c r="N138" s="377"/>
    </row>
    <row r="139" spans="1:14" ht="15" customHeight="1" x14ac:dyDescent="0.2">
      <c r="A139" s="703"/>
      <c r="B139" s="360" t="str">
        <f t="shared" si="0"/>
        <v>16-Finalist</v>
      </c>
      <c r="C139" s="349" t="str">
        <f ca="1">WORLDCUP!AA110</f>
        <v>1D</v>
      </c>
      <c r="D139" s="704"/>
      <c r="E139" s="370"/>
      <c r="F139" s="370"/>
      <c r="G139" s="370"/>
      <c r="H139" s="370"/>
      <c r="I139" s="381"/>
      <c r="J139" s="370"/>
      <c r="K139" s="370"/>
      <c r="L139" s="370"/>
      <c r="M139" s="379"/>
      <c r="N139" s="377"/>
    </row>
    <row r="140" spans="1:14" ht="15" customHeight="1" x14ac:dyDescent="0.2">
      <c r="A140" s="703"/>
      <c r="B140" s="360" t="str">
        <f t="shared" si="0"/>
        <v>16-Finalist</v>
      </c>
      <c r="C140" s="349" t="str">
        <f ca="1">WORLDCUP!AA111</f>
        <v>1H</v>
      </c>
      <c r="D140" s="704"/>
      <c r="E140" s="370"/>
      <c r="F140" s="370"/>
      <c r="G140" s="370"/>
      <c r="H140" s="370"/>
      <c r="I140" s="381"/>
      <c r="J140" s="370"/>
      <c r="K140" s="370"/>
      <c r="L140" s="370"/>
      <c r="M140" s="379"/>
      <c r="N140" s="377"/>
    </row>
    <row r="141" spans="1:14" ht="15" customHeight="1" x14ac:dyDescent="0.2">
      <c r="A141" s="703"/>
      <c r="B141" s="360" t="str">
        <f t="shared" si="0"/>
        <v>16-Finalist</v>
      </c>
      <c r="C141" s="349" t="str">
        <f ca="1">WORLDCUP!AA112</f>
        <v>2K</v>
      </c>
      <c r="D141" s="704"/>
      <c r="E141" s="370"/>
      <c r="F141" s="370"/>
      <c r="G141" s="370"/>
      <c r="H141" s="370"/>
      <c r="I141" s="381"/>
      <c r="J141" s="370"/>
      <c r="K141" s="370"/>
      <c r="L141" s="370"/>
      <c r="M141" s="379"/>
      <c r="N141" s="377"/>
    </row>
    <row r="142" spans="1:14" ht="15" customHeight="1" x14ac:dyDescent="0.2">
      <c r="A142" s="703"/>
      <c r="B142" s="360" t="str">
        <f t="shared" si="0"/>
        <v>16-Finalist</v>
      </c>
      <c r="C142" s="349" t="str">
        <f ca="1">WORLDCUP!AA113</f>
        <v>1B</v>
      </c>
      <c r="D142" s="704"/>
      <c r="E142" s="370"/>
      <c r="F142" s="370"/>
      <c r="G142" s="370"/>
      <c r="H142" s="370"/>
      <c r="I142" s="381"/>
      <c r="J142" s="370"/>
      <c r="K142" s="370"/>
      <c r="L142" s="370"/>
      <c r="M142" s="379"/>
      <c r="N142" s="377"/>
    </row>
    <row r="143" spans="1:14" ht="15" customHeight="1" x14ac:dyDescent="0.2">
      <c r="A143" s="703"/>
      <c r="B143" s="360" t="str">
        <f t="shared" si="0"/>
        <v>16-Finalist</v>
      </c>
      <c r="C143" s="349" t="str">
        <f ca="1">WORLDCUP!AA114</f>
        <v>2D</v>
      </c>
      <c r="D143" s="704"/>
      <c r="E143" s="370"/>
      <c r="F143" s="370"/>
      <c r="G143" s="370"/>
      <c r="H143" s="370"/>
      <c r="I143" s="381"/>
      <c r="J143" s="370"/>
      <c r="K143" s="370"/>
      <c r="L143" s="370"/>
      <c r="M143" s="379"/>
      <c r="N143" s="377"/>
    </row>
    <row r="144" spans="1:14" ht="15" customHeight="1" x14ac:dyDescent="0.2">
      <c r="A144" s="703"/>
      <c r="B144" s="360" t="str">
        <f t="shared" si="0"/>
        <v>16-Finalist</v>
      </c>
      <c r="C144" s="349" t="str">
        <f ca="1">WORLDCUP!AA115</f>
        <v>1J</v>
      </c>
      <c r="D144" s="704"/>
      <c r="E144" s="370"/>
      <c r="F144" s="370"/>
      <c r="G144" s="370"/>
      <c r="H144" s="370"/>
      <c r="I144" s="381"/>
      <c r="J144" s="370"/>
      <c r="K144" s="370"/>
      <c r="L144" s="370"/>
      <c r="M144" s="379"/>
      <c r="N144" s="377"/>
    </row>
    <row r="145" spans="1:14" ht="15" customHeight="1" x14ac:dyDescent="0.2">
      <c r="A145" s="703"/>
      <c r="B145" s="360" t="str">
        <f t="shared" si="0"/>
        <v>16-Finalist</v>
      </c>
      <c r="C145" s="349" t="str">
        <f ca="1">WORLDCUP!AA116</f>
        <v>1K</v>
      </c>
      <c r="D145" s="704"/>
      <c r="E145" s="370"/>
      <c r="F145" s="370"/>
      <c r="G145" s="370"/>
      <c r="H145" s="370"/>
      <c r="I145" s="381"/>
      <c r="J145" s="370"/>
      <c r="K145" s="370"/>
      <c r="L145" s="370"/>
      <c r="M145" s="379"/>
      <c r="N145" s="377"/>
    </row>
    <row r="146" spans="1:14" ht="15" customHeight="1" x14ac:dyDescent="0.2">
      <c r="A146" s="703"/>
      <c r="B146" s="360" t="str">
        <f>Idiomas!$D$188</f>
        <v>16-Finalist</v>
      </c>
      <c r="C146" s="349" t="str">
        <f ca="1">WORLDCUP!AF101</f>
        <v>2B</v>
      </c>
      <c r="D146" s="704"/>
      <c r="E146" s="370"/>
      <c r="F146" s="370"/>
      <c r="G146" s="370"/>
      <c r="H146" s="370"/>
      <c r="I146" s="381"/>
      <c r="J146" s="370"/>
      <c r="K146" s="370"/>
      <c r="L146" s="370"/>
      <c r="M146" s="379"/>
      <c r="N146" s="377"/>
    </row>
    <row r="147" spans="1:14" ht="15" customHeight="1" x14ac:dyDescent="0.2">
      <c r="A147" s="703"/>
      <c r="B147" s="360" t="str">
        <f>B146</f>
        <v>16-Finalist</v>
      </c>
      <c r="C147" s="349" t="str">
        <f ca="1">WORLDCUP!AF102</f>
        <v>2F</v>
      </c>
      <c r="D147" s="704"/>
      <c r="E147" s="370"/>
      <c r="F147" s="370"/>
      <c r="G147" s="370"/>
      <c r="H147" s="370"/>
      <c r="I147" s="381"/>
      <c r="J147" s="370"/>
      <c r="K147" s="370"/>
      <c r="L147" s="370"/>
      <c r="M147" s="379"/>
      <c r="N147" s="377"/>
    </row>
    <row r="148" spans="1:14" ht="15" customHeight="1" x14ac:dyDescent="0.2">
      <c r="A148" s="703"/>
      <c r="B148" s="360" t="str">
        <f t="shared" ref="B148:B161" si="1">B147</f>
        <v>16-Finalist</v>
      </c>
      <c r="C148" s="349" t="str">
        <f ca="1">WORLDCUP!AF103</f>
        <v>3ABCDF</v>
      </c>
      <c r="D148" s="704"/>
      <c r="E148" s="370"/>
      <c r="F148" s="370"/>
      <c r="G148" s="370"/>
      <c r="H148" s="370"/>
      <c r="I148" s="381"/>
      <c r="J148" s="370"/>
      <c r="K148" s="370"/>
      <c r="L148" s="370"/>
      <c r="M148" s="379"/>
      <c r="N148" s="377"/>
    </row>
    <row r="149" spans="1:14" ht="15" customHeight="1" x14ac:dyDescent="0.2">
      <c r="A149" s="703"/>
      <c r="B149" s="360" t="str">
        <f t="shared" si="1"/>
        <v>16-Finalist</v>
      </c>
      <c r="C149" s="349" t="str">
        <f ca="1">WORLDCUP!AF104</f>
        <v>2C</v>
      </c>
      <c r="D149" s="704"/>
      <c r="E149" s="370"/>
      <c r="F149" s="370"/>
      <c r="G149" s="370"/>
      <c r="H149" s="370"/>
      <c r="I149" s="381"/>
      <c r="J149" s="370"/>
      <c r="K149" s="370"/>
      <c r="L149" s="370"/>
      <c r="M149" s="379"/>
      <c r="N149" s="377"/>
    </row>
    <row r="150" spans="1:14" ht="15" customHeight="1" x14ac:dyDescent="0.2">
      <c r="A150" s="703"/>
      <c r="B150" s="360" t="str">
        <f t="shared" si="1"/>
        <v>16-Finalist</v>
      </c>
      <c r="C150" s="349" t="str">
        <f ca="1">WORLDCUP!AF105</f>
        <v>2I</v>
      </c>
      <c r="D150" s="704"/>
      <c r="E150" s="370"/>
      <c r="F150" s="370"/>
      <c r="G150" s="370"/>
      <c r="H150" s="370"/>
      <c r="I150" s="381"/>
      <c r="J150" s="370"/>
      <c r="K150" s="370"/>
      <c r="L150" s="370"/>
      <c r="M150" s="379"/>
      <c r="N150" s="377"/>
    </row>
    <row r="151" spans="1:14" ht="15" customHeight="1" x14ac:dyDescent="0.2">
      <c r="A151" s="703"/>
      <c r="B151" s="360" t="str">
        <f t="shared" si="1"/>
        <v>16-Finalist</v>
      </c>
      <c r="C151" s="349" t="str">
        <f ca="1">WORLDCUP!AF106</f>
        <v>3CDFGH</v>
      </c>
      <c r="D151" s="704"/>
      <c r="E151" s="370"/>
      <c r="F151" s="370"/>
      <c r="G151" s="370"/>
      <c r="H151" s="370"/>
      <c r="I151" s="381"/>
      <c r="J151" s="370"/>
      <c r="K151" s="370"/>
      <c r="L151" s="370"/>
      <c r="M151" s="379"/>
      <c r="N151" s="377"/>
    </row>
    <row r="152" spans="1:14" ht="15" customHeight="1" x14ac:dyDescent="0.2">
      <c r="A152" s="703"/>
      <c r="B152" s="360" t="str">
        <f t="shared" si="1"/>
        <v>16-Finalist</v>
      </c>
      <c r="C152" s="349" t="str">
        <f ca="1">WORLDCUP!AF107</f>
        <v>3CEFHI</v>
      </c>
      <c r="D152" s="704"/>
      <c r="E152" s="370"/>
      <c r="F152" s="370"/>
      <c r="G152" s="370"/>
      <c r="H152" s="370"/>
      <c r="I152" s="381"/>
      <c r="J152" s="370"/>
      <c r="K152" s="370"/>
      <c r="L152" s="370"/>
      <c r="M152" s="379"/>
      <c r="N152" s="377"/>
    </row>
    <row r="153" spans="1:14" ht="15" customHeight="1" x14ac:dyDescent="0.2">
      <c r="A153" s="703"/>
      <c r="B153" s="360" t="str">
        <f t="shared" si="1"/>
        <v>16-Finalist</v>
      </c>
      <c r="C153" s="349" t="str">
        <f ca="1">WORLDCUP!AF108</f>
        <v>3EHIJK</v>
      </c>
      <c r="D153" s="704"/>
      <c r="E153" s="370"/>
      <c r="F153" s="370"/>
      <c r="G153" s="370"/>
      <c r="H153" s="370"/>
      <c r="I153" s="381"/>
      <c r="J153" s="370"/>
      <c r="K153" s="370"/>
      <c r="L153" s="370"/>
      <c r="M153" s="379"/>
      <c r="N153" s="377"/>
    </row>
    <row r="154" spans="1:14" ht="15" customHeight="1" x14ac:dyDescent="0.2">
      <c r="A154" s="703"/>
      <c r="B154" s="360" t="str">
        <f t="shared" si="1"/>
        <v>16-Finalist</v>
      </c>
      <c r="C154" s="349" t="str">
        <f ca="1">WORLDCUP!AF109</f>
        <v>3AEHIJ</v>
      </c>
      <c r="D154" s="704"/>
      <c r="E154" s="370"/>
      <c r="F154" s="370"/>
      <c r="G154" s="370"/>
      <c r="H154" s="370"/>
      <c r="I154" s="381"/>
      <c r="J154" s="370"/>
      <c r="K154" s="370"/>
      <c r="L154" s="370"/>
      <c r="M154" s="379"/>
      <c r="N154" s="377"/>
    </row>
    <row r="155" spans="1:14" ht="15" customHeight="1" x14ac:dyDescent="0.2">
      <c r="A155" s="703"/>
      <c r="B155" s="360" t="str">
        <f t="shared" si="1"/>
        <v>16-Finalist</v>
      </c>
      <c r="C155" s="349" t="str">
        <f ca="1">WORLDCUP!AF110</f>
        <v>3BEFIJ</v>
      </c>
      <c r="D155" s="704"/>
      <c r="E155" s="370"/>
      <c r="F155" s="370"/>
      <c r="G155" s="370"/>
      <c r="H155" s="370"/>
      <c r="I155" s="381"/>
      <c r="J155" s="370"/>
      <c r="K155" s="370"/>
      <c r="L155" s="370"/>
      <c r="M155" s="379"/>
      <c r="N155" s="377"/>
    </row>
    <row r="156" spans="1:14" ht="15" customHeight="1" x14ac:dyDescent="0.2">
      <c r="A156" s="703"/>
      <c r="B156" s="360" t="str">
        <f t="shared" si="1"/>
        <v>16-Finalist</v>
      </c>
      <c r="C156" s="349" t="str">
        <f ca="1">WORLDCUP!AF111</f>
        <v>2J</v>
      </c>
      <c r="D156" s="704"/>
      <c r="E156" s="370"/>
      <c r="F156" s="370"/>
      <c r="G156" s="370"/>
      <c r="H156" s="370"/>
      <c r="I156" s="381"/>
      <c r="J156" s="370"/>
      <c r="K156" s="370"/>
      <c r="L156" s="370"/>
      <c r="M156" s="379"/>
      <c r="N156" s="377"/>
    </row>
    <row r="157" spans="1:14" ht="15" customHeight="1" x14ac:dyDescent="0.2">
      <c r="A157" s="703"/>
      <c r="B157" s="360" t="str">
        <f t="shared" si="1"/>
        <v>16-Finalist</v>
      </c>
      <c r="C157" s="349" t="str">
        <f ca="1">WORLDCUP!AF112</f>
        <v>2L</v>
      </c>
      <c r="D157" s="704"/>
      <c r="E157" s="370"/>
      <c r="F157" s="370"/>
      <c r="G157" s="370"/>
      <c r="H157" s="370"/>
      <c r="I157" s="381"/>
      <c r="J157" s="370"/>
      <c r="K157" s="370"/>
      <c r="L157" s="370"/>
      <c r="M157" s="379"/>
      <c r="N157" s="377"/>
    </row>
    <row r="158" spans="1:14" ht="15" customHeight="1" x14ac:dyDescent="0.2">
      <c r="A158" s="703"/>
      <c r="B158" s="360" t="str">
        <f t="shared" si="1"/>
        <v>16-Finalist</v>
      </c>
      <c r="C158" s="349" t="str">
        <f ca="1">WORLDCUP!AF113</f>
        <v>3EFGIJ</v>
      </c>
      <c r="D158" s="704"/>
      <c r="E158" s="370"/>
      <c r="F158" s="370"/>
      <c r="G158" s="370"/>
      <c r="H158" s="370"/>
      <c r="I158" s="381"/>
      <c r="J158" s="370"/>
      <c r="K158" s="370"/>
      <c r="L158" s="370"/>
      <c r="M158" s="379"/>
      <c r="N158" s="377"/>
    </row>
    <row r="159" spans="1:14" ht="15" customHeight="1" x14ac:dyDescent="0.2">
      <c r="A159" s="703"/>
      <c r="B159" s="360" t="str">
        <f t="shared" si="1"/>
        <v>16-Finalist</v>
      </c>
      <c r="C159" s="349" t="str">
        <f ca="1">WORLDCUP!AF114</f>
        <v>2G</v>
      </c>
      <c r="D159" s="704"/>
      <c r="E159" s="370"/>
      <c r="F159" s="370"/>
      <c r="G159" s="370"/>
      <c r="H159" s="370"/>
      <c r="I159" s="381"/>
      <c r="J159" s="370"/>
      <c r="K159" s="370"/>
      <c r="L159" s="370"/>
      <c r="M159" s="379"/>
      <c r="N159" s="377"/>
    </row>
    <row r="160" spans="1:14" ht="15" customHeight="1" x14ac:dyDescent="0.2">
      <c r="A160" s="703"/>
      <c r="B160" s="360" t="str">
        <f t="shared" si="1"/>
        <v>16-Finalist</v>
      </c>
      <c r="C160" s="349" t="str">
        <f ca="1">WORLDCUP!AF115</f>
        <v>2H</v>
      </c>
      <c r="D160" s="704"/>
      <c r="E160" s="370"/>
      <c r="F160" s="370"/>
      <c r="G160" s="370"/>
      <c r="H160" s="370"/>
      <c r="I160" s="381"/>
      <c r="J160" s="370"/>
      <c r="K160" s="370"/>
      <c r="L160" s="370"/>
      <c r="M160" s="379"/>
      <c r="N160" s="377"/>
    </row>
    <row r="161" spans="1:14" ht="15" customHeight="1" x14ac:dyDescent="0.2">
      <c r="A161" s="703"/>
      <c r="B161" s="360" t="str">
        <f t="shared" si="1"/>
        <v>16-Finalist</v>
      </c>
      <c r="C161" s="349" t="str">
        <f ca="1">WORLDCUP!AF116</f>
        <v>3DEIJL</v>
      </c>
      <c r="D161" s="705"/>
      <c r="E161" s="372"/>
      <c r="F161" s="372"/>
      <c r="G161" s="372"/>
      <c r="H161" s="372"/>
      <c r="I161" s="382"/>
      <c r="J161" s="383"/>
      <c r="K161" s="372"/>
      <c r="L161" s="372"/>
      <c r="M161" s="384"/>
      <c r="N161" s="377"/>
    </row>
    <row r="162" spans="1:14" ht="20" customHeight="1" x14ac:dyDescent="0.2">
      <c r="A162" s="353"/>
      <c r="B162" s="353"/>
      <c r="C162" s="350"/>
      <c r="D162" s="370"/>
      <c r="E162" s="687" t="str">
        <f>Idiomas!D113</f>
        <v>·If you play the KO rounds at once copy from C164 to C252 and paste in the Administrator template.</v>
      </c>
      <c r="F162" s="687"/>
      <c r="G162" s="687"/>
      <c r="H162" s="687"/>
      <c r="I162" s="687"/>
      <c r="J162" s="687"/>
      <c r="K162" s="687"/>
      <c r="L162" s="688"/>
      <c r="M162" s="385"/>
      <c r="N162" s="377"/>
    </row>
    <row r="163" spans="1:14" ht="23" customHeight="1" x14ac:dyDescent="0.25">
      <c r="A163" s="353"/>
      <c r="B163" s="358" t="str">
        <f>Idiomas!D128</f>
        <v>ROUND OF 32</v>
      </c>
      <c r="C163" s="350"/>
      <c r="D163" s="370"/>
      <c r="E163" s="689" t="str">
        <f>Idiomas!D114</f>
        <v>·If you play de KO phase, round by round, follow the instructions of every KO round.</v>
      </c>
      <c r="F163" s="689"/>
      <c r="G163" s="689"/>
      <c r="H163" s="689"/>
      <c r="I163" s="689"/>
      <c r="J163" s="689"/>
      <c r="K163" s="689"/>
      <c r="L163" s="690"/>
      <c r="M163" s="386"/>
      <c r="N163" s="377"/>
    </row>
    <row r="164" spans="1:14" ht="15" customHeight="1" x14ac:dyDescent="0.2">
      <c r="A164" s="703" t="s">
        <v>493</v>
      </c>
      <c r="B164" s="360" t="str">
        <f ca="1">CONCATENATE(WORLDCUP!AA101,"-",WORLDCUP!AF101)</f>
        <v>2A-2B</v>
      </c>
      <c r="C164" s="349" t="str">
        <f ca="1">CONCATENATE(WORLDCUP!AA101,"-",WORLDCUP!AF101,"·",IF(WORLDCUP!AC101&gt;WORLDCUP!AD101,1,IF(WORLDCUP!AC101&lt;WORLDCUP!AD101,2,IF(AND(WORLDCUP!AC101=WORLDCUP!AD101,WORLDCUP!AC101&lt;&gt;"",WORLDCUP!AD101&lt;&gt;""),"X",0))),"|",WORLDCUP!AC101,"-",WORLDCUP!AD101)</f>
        <v>2A-2B·0|-</v>
      </c>
      <c r="D164" s="706" t="s">
        <v>493</v>
      </c>
      <c r="E164" s="691" t="str">
        <f>Idiomas!D115</f>
        <v>·For de round of 32 matches, copy from C164 to C197 and paste in the administrator template in "Paste Values Round of 32"</v>
      </c>
      <c r="F164" s="691"/>
      <c r="G164" s="691"/>
      <c r="H164" s="691"/>
      <c r="I164" s="352"/>
      <c r="J164" s="370"/>
      <c r="K164" s="370"/>
      <c r="L164" s="370"/>
      <c r="M164" s="386"/>
      <c r="N164" s="377"/>
    </row>
    <row r="165" spans="1:14" ht="15" customHeight="1" x14ac:dyDescent="0.2">
      <c r="A165" s="703"/>
      <c r="B165" s="360" t="str">
        <f ca="1">CONCATENATE(WORLDCUP!AA102,"-",WORLDCUP!AF102)</f>
        <v>1C-2F</v>
      </c>
      <c r="C165" s="349" t="str">
        <f ca="1">CONCATENATE(WORLDCUP!AA102,"-",WORLDCUP!AF102,"·",IF(WORLDCUP!AC102&gt;WORLDCUP!AD102,1,IF(WORLDCUP!AC102&lt;WORLDCUP!AD102,2,IF(AND(WORLDCUP!AC102=WORLDCUP!AD102,WORLDCUP!AC102&lt;&gt;"",WORLDCUP!AD102&lt;&gt;""),"X",0))),"|",WORLDCUP!AC102,"-",WORLDCUP!AD102)</f>
        <v>1C-2F·0|-</v>
      </c>
      <c r="D165" s="706"/>
      <c r="E165" s="692"/>
      <c r="F165" s="692"/>
      <c r="G165" s="692"/>
      <c r="H165" s="692"/>
      <c r="I165" s="352"/>
      <c r="J165" s="370"/>
      <c r="K165" s="370"/>
      <c r="L165" s="370"/>
      <c r="M165" s="386"/>
      <c r="N165" s="377"/>
    </row>
    <row r="166" spans="1:14" ht="15" customHeight="1" x14ac:dyDescent="0.2">
      <c r="A166" s="703"/>
      <c r="B166" s="360" t="str">
        <f ca="1">CONCATENATE(WORLDCUP!AA103,"-",WORLDCUP!AF103)</f>
        <v>1E-3ABCDF</v>
      </c>
      <c r="C166" s="349" t="str">
        <f ca="1">CONCATENATE(WORLDCUP!AA103,"-",WORLDCUP!AF103,"·",IF(WORLDCUP!AC103&gt;WORLDCUP!AD103,1,IF(WORLDCUP!AC103&lt;WORLDCUP!AD103,2,IF(AND(WORLDCUP!AC103=WORLDCUP!AD103,WORLDCUP!AC103&lt;&gt;"",WORLDCUP!AD103&lt;&gt;""),"X",0))),"|",WORLDCUP!AC103,"-",WORLDCUP!AD103)</f>
        <v>1E-3ABCDF·0|-</v>
      </c>
      <c r="D166" s="706"/>
      <c r="E166" s="692"/>
      <c r="F166" s="692"/>
      <c r="G166" s="692"/>
      <c r="H166" s="692"/>
      <c r="I166" s="352"/>
      <c r="J166" s="370"/>
      <c r="K166" s="370"/>
      <c r="L166" s="370"/>
      <c r="M166" s="386"/>
      <c r="N166" s="377"/>
    </row>
    <row r="167" spans="1:14" ht="15" customHeight="1" x14ac:dyDescent="0.2">
      <c r="A167" s="703"/>
      <c r="B167" s="360" t="str">
        <f ca="1">CONCATENATE(WORLDCUP!AA104,"-",WORLDCUP!AF104)</f>
        <v>1F-2C</v>
      </c>
      <c r="C167" s="349" t="str">
        <f ca="1">CONCATENATE(WORLDCUP!AA104,"-",WORLDCUP!AF104,"·",IF(WORLDCUP!AC104&gt;WORLDCUP!AD104,1,IF(WORLDCUP!AC104&lt;WORLDCUP!AD104,2,IF(AND(WORLDCUP!AC104=WORLDCUP!AD104,WORLDCUP!AC104&lt;&gt;"",WORLDCUP!AD104&lt;&gt;""),"X",0))),"|",WORLDCUP!AC104,"-",WORLDCUP!AD104)</f>
        <v>1F-2C·0|-</v>
      </c>
      <c r="D167" s="706"/>
      <c r="E167" s="692"/>
      <c r="F167" s="692"/>
      <c r="G167" s="692"/>
      <c r="H167" s="692"/>
      <c r="I167" s="352"/>
      <c r="J167" s="370"/>
      <c r="K167" s="370"/>
      <c r="L167" s="370"/>
      <c r="M167" s="386"/>
      <c r="N167" s="377"/>
    </row>
    <row r="168" spans="1:14" ht="15" customHeight="1" x14ac:dyDescent="0.2">
      <c r="A168" s="703"/>
      <c r="B168" s="360" t="str">
        <f ca="1">CONCATENATE(WORLDCUP!AA105,"-",WORLDCUP!AF105)</f>
        <v>2E-2I</v>
      </c>
      <c r="C168" s="349" t="str">
        <f ca="1">CONCATENATE(WORLDCUP!AA105,"-",WORLDCUP!AF105,"·",IF(WORLDCUP!AC105&gt;WORLDCUP!AD105,1,IF(WORLDCUP!AC105&lt;WORLDCUP!AD105,2,IF(AND(WORLDCUP!AC105=WORLDCUP!AD105,WORLDCUP!AC105&lt;&gt;"",WORLDCUP!AD105&lt;&gt;""),"X",0))),"|",WORLDCUP!AC105,"-",WORLDCUP!AD105)</f>
        <v>2E-2I·0|-</v>
      </c>
      <c r="D168" s="706"/>
      <c r="E168" s="370"/>
      <c r="F168" s="370"/>
      <c r="G168" s="370"/>
      <c r="H168" s="370"/>
      <c r="I168" s="352"/>
      <c r="J168" s="370"/>
      <c r="K168" s="370"/>
      <c r="L168" s="370"/>
      <c r="M168" s="386"/>
      <c r="N168" s="377"/>
    </row>
    <row r="169" spans="1:14" ht="15" customHeight="1" x14ac:dyDescent="0.2">
      <c r="A169" s="703"/>
      <c r="B169" s="360" t="str">
        <f ca="1">CONCATENATE(WORLDCUP!AA106,"-",WORLDCUP!AF106)</f>
        <v>1I-3CDFGH</v>
      </c>
      <c r="C169" s="349" t="str">
        <f ca="1">CONCATENATE(WORLDCUP!AA106,"-",WORLDCUP!AF106,"·",IF(WORLDCUP!AC106&gt;WORLDCUP!AD106,1,IF(WORLDCUP!AC106&lt;WORLDCUP!AD106,2,IF(AND(WORLDCUP!AC106=WORLDCUP!AD106,WORLDCUP!AC106&lt;&gt;"",WORLDCUP!AD106&lt;&gt;""),"X",0))),"|",WORLDCUP!AC106,"-",WORLDCUP!AD106)</f>
        <v>1I-3CDFGH·0|-</v>
      </c>
      <c r="D169" s="706"/>
      <c r="E169" s="370"/>
      <c r="F169" s="370"/>
      <c r="G169" s="370"/>
      <c r="H169" s="370"/>
      <c r="I169" s="352"/>
      <c r="J169" s="370"/>
      <c r="K169" s="370"/>
      <c r="L169" s="370"/>
      <c r="M169" s="386"/>
      <c r="N169" s="377"/>
    </row>
    <row r="170" spans="1:14" ht="15" customHeight="1" x14ac:dyDescent="0.2">
      <c r="A170" s="703"/>
      <c r="B170" s="360" t="str">
        <f ca="1">CONCATENATE(WORLDCUP!AA107,"-",WORLDCUP!AF107)</f>
        <v>1A-3CEFHI</v>
      </c>
      <c r="C170" s="349" t="str">
        <f ca="1">CONCATENATE(WORLDCUP!AA107,"-",WORLDCUP!AF107,"·",IF(WORLDCUP!AC107&gt;WORLDCUP!AD107,1,IF(WORLDCUP!AC107&lt;WORLDCUP!AD107,2,IF(AND(WORLDCUP!AC107=WORLDCUP!AD107,WORLDCUP!AC107&lt;&gt;"",WORLDCUP!AD107&lt;&gt;""),"X",0))),"|",WORLDCUP!AC107,"-",WORLDCUP!AD107)</f>
        <v>1A-3CEFHI·0|-</v>
      </c>
      <c r="D170" s="706"/>
      <c r="E170" s="370"/>
      <c r="F170" s="370"/>
      <c r="G170" s="370"/>
      <c r="H170" s="370"/>
      <c r="I170" s="352"/>
      <c r="J170" s="370"/>
      <c r="K170" s="370"/>
      <c r="L170" s="370"/>
      <c r="M170" s="386"/>
      <c r="N170" s="377"/>
    </row>
    <row r="171" spans="1:14" ht="15" customHeight="1" x14ac:dyDescent="0.2">
      <c r="A171" s="703"/>
      <c r="B171" s="360" t="str">
        <f ca="1">CONCATENATE(WORLDCUP!AA108,"-",WORLDCUP!AF108)</f>
        <v>1L-3EHIJK</v>
      </c>
      <c r="C171" s="349" t="str">
        <f ca="1">CONCATENATE(WORLDCUP!AA108,"-",WORLDCUP!AF108,"·",IF(WORLDCUP!AC108&gt;WORLDCUP!AD108,1,IF(WORLDCUP!AC108&lt;WORLDCUP!AD108,2,IF(AND(WORLDCUP!AC108=WORLDCUP!AD108,WORLDCUP!AC108&lt;&gt;"",WORLDCUP!AD108&lt;&gt;""),"X",0))),"|",WORLDCUP!AC108,"-",WORLDCUP!AD108)</f>
        <v>1L-3EHIJK·0|-</v>
      </c>
      <c r="D171" s="706"/>
      <c r="E171" s="370"/>
      <c r="F171" s="370"/>
      <c r="G171" s="370"/>
      <c r="H171" s="370"/>
      <c r="I171" s="352"/>
      <c r="J171" s="370"/>
      <c r="K171" s="370"/>
      <c r="L171" s="370"/>
      <c r="M171" s="386"/>
      <c r="N171" s="377"/>
    </row>
    <row r="172" spans="1:14" ht="15" customHeight="1" x14ac:dyDescent="0.2">
      <c r="A172" s="703"/>
      <c r="B172" s="360" t="str">
        <f ca="1">CONCATENATE(WORLDCUP!AA109,"-",WORLDCUP!AF109)</f>
        <v>1G-3AEHIJ</v>
      </c>
      <c r="C172" s="349" t="str">
        <f ca="1">CONCATENATE(WORLDCUP!AA109,"-",WORLDCUP!AF109,"·",IF(WORLDCUP!AC109&gt;WORLDCUP!AD109,1,IF(WORLDCUP!AC109&lt;WORLDCUP!AD109,2,IF(AND(WORLDCUP!AC109=WORLDCUP!AD109,WORLDCUP!AC109&lt;&gt;"",WORLDCUP!AD109&lt;&gt;""),"X",0))),"|",WORLDCUP!AC109,"-",WORLDCUP!AD109)</f>
        <v>1G-3AEHIJ·0|-</v>
      </c>
      <c r="D172" s="706"/>
      <c r="E172" s="370"/>
      <c r="F172" s="370"/>
      <c r="G172" s="370"/>
      <c r="H172" s="370"/>
      <c r="I172" s="352"/>
      <c r="J172" s="370"/>
      <c r="K172" s="370"/>
      <c r="L172" s="370"/>
      <c r="M172" s="386"/>
      <c r="N172" s="377"/>
    </row>
    <row r="173" spans="1:14" ht="15" customHeight="1" x14ac:dyDescent="0.2">
      <c r="A173" s="703"/>
      <c r="B173" s="360" t="str">
        <f ca="1">CONCATENATE(WORLDCUP!AA110,"-",WORLDCUP!AF110)</f>
        <v>1D-3BEFIJ</v>
      </c>
      <c r="C173" s="349" t="str">
        <f ca="1">CONCATENATE(WORLDCUP!AA110,"-",WORLDCUP!AF110,"·",IF(WORLDCUP!AC110&gt;WORLDCUP!AD110,1,IF(WORLDCUP!AC110&lt;WORLDCUP!AD110,2,IF(AND(WORLDCUP!AC110=WORLDCUP!AD110,WORLDCUP!AC110&lt;&gt;"",WORLDCUP!AD110&lt;&gt;""),"X",0))),"|",WORLDCUP!AC110,"-",WORLDCUP!AD110)</f>
        <v>1D-3BEFIJ·0|-</v>
      </c>
      <c r="D173" s="706"/>
      <c r="E173" s="370"/>
      <c r="F173" s="370"/>
      <c r="G173" s="370"/>
      <c r="H173" s="370"/>
      <c r="I173" s="352"/>
      <c r="J173" s="370"/>
      <c r="K173" s="370"/>
      <c r="L173" s="370"/>
      <c r="M173" s="386"/>
      <c r="N173" s="377"/>
    </row>
    <row r="174" spans="1:14" ht="15" customHeight="1" x14ac:dyDescent="0.2">
      <c r="A174" s="703"/>
      <c r="B174" s="360" t="str">
        <f ca="1">CONCATENATE(WORLDCUP!AA111,"-",WORLDCUP!AF111)</f>
        <v>1H-2J</v>
      </c>
      <c r="C174" s="349" t="str">
        <f ca="1">CONCATENATE(WORLDCUP!AA111,"-",WORLDCUP!AF111,"·",IF(WORLDCUP!AC111&gt;WORLDCUP!AD111,1,IF(WORLDCUP!AC111&lt;WORLDCUP!AD111,2,IF(AND(WORLDCUP!AC111=WORLDCUP!AD111,WORLDCUP!AC111&lt;&gt;"",WORLDCUP!AD111&lt;&gt;""),"X",0))),"|",WORLDCUP!AC111,"-",WORLDCUP!AD111)</f>
        <v>1H-2J·0|-</v>
      </c>
      <c r="D174" s="706"/>
      <c r="E174" s="370"/>
      <c r="F174" s="370"/>
      <c r="G174" s="370"/>
      <c r="H174" s="370"/>
      <c r="I174" s="352"/>
      <c r="J174" s="370"/>
      <c r="K174" s="370"/>
      <c r="L174" s="370"/>
      <c r="M174" s="386"/>
      <c r="N174" s="377"/>
    </row>
    <row r="175" spans="1:14" ht="15" customHeight="1" x14ac:dyDescent="0.2">
      <c r="A175" s="703"/>
      <c r="B175" s="360" t="str">
        <f ca="1">CONCATENATE(WORLDCUP!AA112,"-",WORLDCUP!AF112)</f>
        <v>2K-2L</v>
      </c>
      <c r="C175" s="349" t="str">
        <f ca="1">CONCATENATE(WORLDCUP!AA112,"-",WORLDCUP!AF112,"·",IF(WORLDCUP!AC112&gt;WORLDCUP!AD112,1,IF(WORLDCUP!AC112&lt;WORLDCUP!AD112,2,IF(AND(WORLDCUP!AC112=WORLDCUP!AD112,WORLDCUP!AC112&lt;&gt;"",WORLDCUP!AD112&lt;&gt;""),"X",0))),"|",WORLDCUP!AC112,"-",WORLDCUP!AD112)</f>
        <v>2K-2L·0|-</v>
      </c>
      <c r="D175" s="706"/>
      <c r="E175" s="370"/>
      <c r="F175" s="370"/>
      <c r="G175" s="370"/>
      <c r="H175" s="370"/>
      <c r="I175" s="352"/>
      <c r="J175" s="370"/>
      <c r="K175" s="370"/>
      <c r="L175" s="370"/>
      <c r="M175" s="386"/>
      <c r="N175" s="377"/>
    </row>
    <row r="176" spans="1:14" ht="15" customHeight="1" x14ac:dyDescent="0.2">
      <c r="A176" s="703"/>
      <c r="B176" s="360" t="str">
        <f ca="1">CONCATENATE(WORLDCUP!AA113,"-",WORLDCUP!AF113)</f>
        <v>1B-3EFGIJ</v>
      </c>
      <c r="C176" s="349" t="str">
        <f ca="1">CONCATENATE(WORLDCUP!AA113,"-",WORLDCUP!AF113,"·",IF(WORLDCUP!AC113&gt;WORLDCUP!AD113,1,IF(WORLDCUP!AC113&lt;WORLDCUP!AD113,2,IF(AND(WORLDCUP!AC113=WORLDCUP!AD113,WORLDCUP!AC113&lt;&gt;"",WORLDCUP!AD113&lt;&gt;""),"X",0))),"|",WORLDCUP!AC113,"-",WORLDCUP!AD113)</f>
        <v>1B-3EFGIJ·0|-</v>
      </c>
      <c r="D176" s="706"/>
      <c r="E176" s="370"/>
      <c r="F176" s="370"/>
      <c r="G176" s="370"/>
      <c r="H176" s="370"/>
      <c r="I176" s="352"/>
      <c r="J176" s="370"/>
      <c r="K176" s="370"/>
      <c r="L176" s="370"/>
      <c r="M176" s="386"/>
      <c r="N176" s="377"/>
    </row>
    <row r="177" spans="1:14" ht="15" customHeight="1" x14ac:dyDescent="0.2">
      <c r="A177" s="703"/>
      <c r="B177" s="360" t="str">
        <f ca="1">CONCATENATE(WORLDCUP!AA114,"-",WORLDCUP!AF114)</f>
        <v>2D-2G</v>
      </c>
      <c r="C177" s="349" t="str">
        <f ca="1">CONCATENATE(WORLDCUP!AA114,"-",WORLDCUP!AF114,"·",IF(WORLDCUP!AC114&gt;WORLDCUP!AD114,1,IF(WORLDCUP!AC114&lt;WORLDCUP!AD114,2,IF(AND(WORLDCUP!AC114=WORLDCUP!AD114,WORLDCUP!AC114&lt;&gt;"",WORLDCUP!AD114&lt;&gt;""),"X",0))),"|",WORLDCUP!AC114,"-",WORLDCUP!AD114)</f>
        <v>2D-2G·0|-</v>
      </c>
      <c r="D177" s="706"/>
      <c r="E177" s="370"/>
      <c r="F177" s="370"/>
      <c r="G177" s="370"/>
      <c r="H177" s="370"/>
      <c r="I177" s="352"/>
      <c r="J177" s="370"/>
      <c r="K177" s="370"/>
      <c r="L177" s="370"/>
      <c r="M177" s="386"/>
      <c r="N177" s="377"/>
    </row>
    <row r="178" spans="1:14" ht="15" customHeight="1" x14ac:dyDescent="0.2">
      <c r="A178" s="703"/>
      <c r="B178" s="360" t="str">
        <f ca="1">CONCATENATE(WORLDCUP!AA115,"-",WORLDCUP!AF115)</f>
        <v>1J-2H</v>
      </c>
      <c r="C178" s="349" t="str">
        <f ca="1">CONCATENATE(WORLDCUP!AA115,"-",WORLDCUP!AF115,"·",IF(WORLDCUP!AC115&gt;WORLDCUP!AD115,1,IF(WORLDCUP!AC115&lt;WORLDCUP!AD115,2,IF(AND(WORLDCUP!AC115=WORLDCUP!AD115,WORLDCUP!AC115&lt;&gt;"",WORLDCUP!AD115&lt;&gt;""),"X",0))),"|",WORLDCUP!AC115,"-",WORLDCUP!AD115)</f>
        <v>1J-2H·0|-</v>
      </c>
      <c r="D178" s="706"/>
      <c r="E178" s="370"/>
      <c r="F178" s="370"/>
      <c r="G178" s="370"/>
      <c r="H178" s="370"/>
      <c r="I178" s="352"/>
      <c r="J178" s="370"/>
      <c r="K178" s="370"/>
      <c r="L178" s="370"/>
      <c r="M178" s="386"/>
      <c r="N178" s="377"/>
    </row>
    <row r="179" spans="1:14" ht="15" customHeight="1" x14ac:dyDescent="0.2">
      <c r="A179" s="703"/>
      <c r="B179" s="360" t="str">
        <f ca="1">CONCATENATE(WORLDCUP!AA116,"-",WORLDCUP!AF116)</f>
        <v>1K-3DEIJL</v>
      </c>
      <c r="C179" s="349" t="str">
        <f ca="1">CONCATENATE(WORLDCUP!AA116,"-",WORLDCUP!AF116,"·",IF(WORLDCUP!AC116&gt;WORLDCUP!AD116,1,IF(WORLDCUP!AC116&lt;WORLDCUP!AD116,2,IF(AND(WORLDCUP!AC116=WORLDCUP!AD116,WORLDCUP!AC116&lt;&gt;"",WORLDCUP!AD116&lt;&gt;""),"X",0))),"|",WORLDCUP!AC116,"-",WORLDCUP!AD116)</f>
        <v>1K-3DEIJL·0|-</v>
      </c>
      <c r="D179" s="706"/>
      <c r="E179" s="370"/>
      <c r="F179" s="370"/>
      <c r="G179" s="370"/>
      <c r="H179" s="370"/>
      <c r="I179" s="352"/>
      <c r="J179" s="370"/>
      <c r="K179" s="370"/>
      <c r="L179" s="370"/>
      <c r="M179" s="386"/>
      <c r="N179" s="377"/>
    </row>
    <row r="180" spans="1:14" ht="15" customHeight="1" x14ac:dyDescent="0.2">
      <c r="A180" s="353"/>
      <c r="B180" s="353"/>
      <c r="C180" s="350"/>
      <c r="D180" s="706"/>
      <c r="E180" s="370"/>
      <c r="F180" s="370"/>
      <c r="G180" s="370"/>
      <c r="H180" s="370"/>
      <c r="I180" s="352"/>
      <c r="J180" s="370"/>
      <c r="K180" s="370"/>
      <c r="L180" s="370"/>
      <c r="M180" s="386"/>
      <c r="N180" s="377"/>
    </row>
    <row r="181" spans="1:14" ht="19" customHeight="1" x14ac:dyDescent="0.25">
      <c r="A181" s="353"/>
      <c r="B181" s="358" t="str">
        <f>Idiomas!D129</f>
        <v>QUALIFIED FOR ROUND OF 16</v>
      </c>
      <c r="C181" s="350"/>
      <c r="D181" s="706"/>
      <c r="E181" s="370"/>
      <c r="F181" s="370"/>
      <c r="G181" s="370"/>
      <c r="H181" s="370"/>
      <c r="I181" s="352"/>
      <c r="J181" s="370"/>
      <c r="K181" s="370"/>
      <c r="L181" s="370"/>
      <c r="M181" s="386"/>
      <c r="N181" s="377"/>
    </row>
    <row r="182" spans="1:14" ht="15" customHeight="1" x14ac:dyDescent="0.2">
      <c r="A182" s="703" t="s">
        <v>89</v>
      </c>
      <c r="B182" s="360" t="str">
        <f>Idiomas!$D$189</f>
        <v>8-Finalist</v>
      </c>
      <c r="C182" s="349" t="str">
        <f>WORLDCUP!AA120</f>
        <v>W73</v>
      </c>
      <c r="D182" s="706"/>
      <c r="E182" s="370"/>
      <c r="F182" s="370"/>
      <c r="G182" s="370"/>
      <c r="H182" s="370"/>
      <c r="I182" s="352"/>
      <c r="J182" s="370"/>
      <c r="K182" s="370"/>
      <c r="L182" s="370"/>
      <c r="M182" s="386"/>
      <c r="N182" s="377"/>
    </row>
    <row r="183" spans="1:14" ht="15" customHeight="1" x14ac:dyDescent="0.2">
      <c r="A183" s="703"/>
      <c r="B183" s="360" t="str">
        <f>B182</f>
        <v>8-Finalist</v>
      </c>
      <c r="C183" s="349" t="str">
        <f>WORLDCUP!AA121</f>
        <v>W74</v>
      </c>
      <c r="D183" s="706"/>
      <c r="E183" s="370"/>
      <c r="F183" s="370"/>
      <c r="G183" s="370"/>
      <c r="H183" s="370"/>
      <c r="I183" s="352"/>
      <c r="J183" s="370"/>
      <c r="K183" s="370"/>
      <c r="L183" s="370"/>
      <c r="M183" s="386"/>
      <c r="N183" s="377"/>
    </row>
    <row r="184" spans="1:14" ht="15" customHeight="1" x14ac:dyDescent="0.2">
      <c r="A184" s="703"/>
      <c r="B184" s="360" t="str">
        <f t="shared" ref="B184:B197" si="2">B183</f>
        <v>8-Finalist</v>
      </c>
      <c r="C184" s="349" t="str">
        <f>WORLDCUP!AA122</f>
        <v>W76</v>
      </c>
      <c r="D184" s="706"/>
      <c r="E184" s="370"/>
      <c r="F184" s="370"/>
      <c r="G184" s="370"/>
      <c r="H184" s="370"/>
      <c r="I184" s="352"/>
      <c r="J184" s="370"/>
      <c r="K184" s="370"/>
      <c r="L184" s="370"/>
      <c r="M184" s="386"/>
      <c r="N184" s="377"/>
    </row>
    <row r="185" spans="1:14" ht="15" customHeight="1" x14ac:dyDescent="0.2">
      <c r="A185" s="703"/>
      <c r="B185" s="360" t="str">
        <f t="shared" si="2"/>
        <v>8-Finalist</v>
      </c>
      <c r="C185" s="349" t="str">
        <f>WORLDCUP!AA123</f>
        <v>W79</v>
      </c>
      <c r="D185" s="706"/>
      <c r="E185" s="370"/>
      <c r="F185" s="370"/>
      <c r="G185" s="370"/>
      <c r="H185" s="370"/>
      <c r="I185" s="352"/>
      <c r="J185" s="370"/>
      <c r="K185" s="370"/>
      <c r="L185" s="370"/>
      <c r="M185" s="386"/>
      <c r="N185" s="377"/>
    </row>
    <row r="186" spans="1:14" ht="15" customHeight="1" x14ac:dyDescent="0.2">
      <c r="A186" s="703"/>
      <c r="B186" s="360" t="str">
        <f t="shared" si="2"/>
        <v>8-Finalist</v>
      </c>
      <c r="C186" s="349" t="str">
        <f>WORLDCUP!AA124</f>
        <v>W83</v>
      </c>
      <c r="D186" s="706"/>
      <c r="E186" s="370"/>
      <c r="F186" s="370"/>
      <c r="G186" s="370"/>
      <c r="H186" s="370"/>
      <c r="I186" s="352"/>
      <c r="J186" s="370"/>
      <c r="K186" s="370"/>
      <c r="L186" s="370"/>
      <c r="M186" s="386"/>
      <c r="N186" s="377"/>
    </row>
    <row r="187" spans="1:14" ht="15" customHeight="1" x14ac:dyDescent="0.2">
      <c r="A187" s="703"/>
      <c r="B187" s="360" t="str">
        <f t="shared" si="2"/>
        <v>8-Finalist</v>
      </c>
      <c r="C187" s="349" t="str">
        <f>WORLDCUP!AA125</f>
        <v>W81</v>
      </c>
      <c r="D187" s="706"/>
      <c r="E187" s="370"/>
      <c r="F187" s="370"/>
      <c r="G187" s="370"/>
      <c r="H187" s="370"/>
      <c r="I187" s="352"/>
      <c r="J187" s="370"/>
      <c r="K187" s="370"/>
      <c r="L187" s="370"/>
      <c r="M187" s="386"/>
      <c r="N187" s="377"/>
    </row>
    <row r="188" spans="1:14" ht="15" customHeight="1" x14ac:dyDescent="0.2">
      <c r="A188" s="703"/>
      <c r="B188" s="360" t="str">
        <f t="shared" si="2"/>
        <v>8-Finalist</v>
      </c>
      <c r="C188" s="349" t="str">
        <f>WORLDCUP!AA126</f>
        <v>W86</v>
      </c>
      <c r="D188" s="706"/>
      <c r="E188" s="370"/>
      <c r="F188" s="370"/>
      <c r="G188" s="370"/>
      <c r="H188" s="370"/>
      <c r="I188" s="352"/>
      <c r="J188" s="370"/>
      <c r="K188" s="370"/>
      <c r="L188" s="370"/>
      <c r="M188" s="386"/>
      <c r="N188" s="377"/>
    </row>
    <row r="189" spans="1:14" ht="15" customHeight="1" x14ac:dyDescent="0.2">
      <c r="A189" s="703"/>
      <c r="B189" s="360" t="str">
        <f t="shared" si="2"/>
        <v>8-Finalist</v>
      </c>
      <c r="C189" s="349" t="str">
        <f>WORLDCUP!AA127</f>
        <v>W85</v>
      </c>
      <c r="D189" s="706"/>
      <c r="E189" s="370"/>
      <c r="F189" s="370"/>
      <c r="G189" s="370"/>
      <c r="H189" s="370"/>
      <c r="I189" s="352"/>
      <c r="J189" s="370"/>
      <c r="K189" s="370"/>
      <c r="L189" s="370"/>
      <c r="M189" s="386"/>
      <c r="N189" s="377"/>
    </row>
    <row r="190" spans="1:14" ht="15" customHeight="1" x14ac:dyDescent="0.2">
      <c r="A190" s="703"/>
      <c r="B190" s="360" t="str">
        <f t="shared" si="2"/>
        <v>8-Finalist</v>
      </c>
      <c r="C190" s="349" t="str">
        <f>WORLDCUP!AF120</f>
        <v>W75</v>
      </c>
      <c r="D190" s="706"/>
      <c r="E190" s="370"/>
      <c r="F190" s="370"/>
      <c r="G190" s="370"/>
      <c r="H190" s="370"/>
      <c r="I190" s="352"/>
      <c r="J190" s="370"/>
      <c r="K190" s="370"/>
      <c r="L190" s="370"/>
      <c r="M190" s="386"/>
      <c r="N190" s="377"/>
    </row>
    <row r="191" spans="1:14" ht="15" customHeight="1" x14ac:dyDescent="0.2">
      <c r="A191" s="703"/>
      <c r="B191" s="360" t="str">
        <f t="shared" si="2"/>
        <v>8-Finalist</v>
      </c>
      <c r="C191" s="349" t="str">
        <f>WORLDCUP!AF121</f>
        <v>W77</v>
      </c>
      <c r="D191" s="706"/>
      <c r="E191" s="370"/>
      <c r="F191" s="370"/>
      <c r="G191" s="370"/>
      <c r="H191" s="370"/>
      <c r="I191" s="352"/>
      <c r="J191" s="370"/>
      <c r="K191" s="370"/>
      <c r="L191" s="370"/>
      <c r="M191" s="386"/>
      <c r="N191" s="377"/>
    </row>
    <row r="192" spans="1:14" ht="15" customHeight="1" x14ac:dyDescent="0.2">
      <c r="A192" s="703"/>
      <c r="B192" s="360" t="str">
        <f t="shared" si="2"/>
        <v>8-Finalist</v>
      </c>
      <c r="C192" s="349" t="str">
        <f>WORLDCUP!AF122</f>
        <v>W78</v>
      </c>
      <c r="D192" s="706"/>
      <c r="E192" s="370"/>
      <c r="F192" s="370"/>
      <c r="G192" s="370"/>
      <c r="H192" s="370"/>
      <c r="I192" s="352"/>
      <c r="J192" s="370"/>
      <c r="K192" s="370"/>
      <c r="L192" s="370"/>
      <c r="M192" s="386"/>
      <c r="N192" s="377"/>
    </row>
    <row r="193" spans="1:14" ht="15" customHeight="1" x14ac:dyDescent="0.2">
      <c r="A193" s="703"/>
      <c r="B193" s="360" t="str">
        <f t="shared" si="2"/>
        <v>8-Finalist</v>
      </c>
      <c r="C193" s="349" t="str">
        <f>WORLDCUP!AF123</f>
        <v>W80</v>
      </c>
      <c r="D193" s="706"/>
      <c r="E193" s="370"/>
      <c r="F193" s="370"/>
      <c r="G193" s="370"/>
      <c r="H193" s="370"/>
      <c r="I193" s="352"/>
      <c r="J193" s="370"/>
      <c r="K193" s="370"/>
      <c r="L193" s="370"/>
      <c r="M193" s="386"/>
      <c r="N193" s="377"/>
    </row>
    <row r="194" spans="1:14" ht="15" customHeight="1" x14ac:dyDescent="0.2">
      <c r="A194" s="703"/>
      <c r="B194" s="360" t="str">
        <f t="shared" si="2"/>
        <v>8-Finalist</v>
      </c>
      <c r="C194" s="349" t="str">
        <f>WORLDCUP!AF124</f>
        <v>W84</v>
      </c>
      <c r="D194" s="706"/>
      <c r="E194" s="370"/>
      <c r="F194" s="370"/>
      <c r="G194" s="370"/>
      <c r="H194" s="370"/>
      <c r="I194" s="352"/>
      <c r="J194" s="370"/>
      <c r="K194" s="370"/>
      <c r="L194" s="370"/>
      <c r="M194" s="386"/>
      <c r="N194" s="377"/>
    </row>
    <row r="195" spans="1:14" ht="15" customHeight="1" x14ac:dyDescent="0.2">
      <c r="A195" s="703"/>
      <c r="B195" s="360" t="str">
        <f t="shared" si="2"/>
        <v>8-Finalist</v>
      </c>
      <c r="C195" s="349" t="str">
        <f>WORLDCUP!AF125</f>
        <v>W82</v>
      </c>
      <c r="D195" s="706"/>
      <c r="E195" s="370"/>
      <c r="F195" s="370"/>
      <c r="G195" s="370"/>
      <c r="H195" s="370"/>
      <c r="I195" s="352"/>
      <c r="J195" s="370"/>
      <c r="K195" s="370"/>
      <c r="L195" s="370"/>
      <c r="M195" s="386"/>
      <c r="N195" s="377"/>
    </row>
    <row r="196" spans="1:14" ht="15" customHeight="1" x14ac:dyDescent="0.2">
      <c r="A196" s="703"/>
      <c r="B196" s="360" t="str">
        <f t="shared" si="2"/>
        <v>8-Finalist</v>
      </c>
      <c r="C196" s="349" t="str">
        <f>WORLDCUP!AF126</f>
        <v>W88</v>
      </c>
      <c r="D196" s="706"/>
      <c r="E196" s="370"/>
      <c r="F196" s="370"/>
      <c r="G196" s="370"/>
      <c r="H196" s="370"/>
      <c r="I196" s="352"/>
      <c r="J196" s="370"/>
      <c r="K196" s="370"/>
      <c r="L196" s="370"/>
      <c r="M196" s="386"/>
      <c r="N196" s="377"/>
    </row>
    <row r="197" spans="1:14" ht="15" customHeight="1" x14ac:dyDescent="0.2">
      <c r="A197" s="703"/>
      <c r="B197" s="360" t="str">
        <f t="shared" si="2"/>
        <v>8-Finalist</v>
      </c>
      <c r="C197" s="349" t="str">
        <f>WORLDCUP!AF127</f>
        <v>W87</v>
      </c>
      <c r="D197" s="706"/>
      <c r="E197" s="373"/>
      <c r="F197" s="373"/>
      <c r="G197" s="373"/>
      <c r="H197" s="373"/>
      <c r="I197" s="352"/>
      <c r="J197" s="370"/>
      <c r="K197" s="370"/>
      <c r="L197" s="370"/>
      <c r="M197" s="386"/>
      <c r="N197" s="377"/>
    </row>
    <row r="198" spans="1:14" x14ac:dyDescent="0.2">
      <c r="A198" s="353"/>
      <c r="B198" s="353"/>
      <c r="C198" s="350"/>
      <c r="D198" s="370"/>
      <c r="E198" s="370"/>
      <c r="F198" s="370"/>
      <c r="G198" s="370"/>
      <c r="H198" s="370"/>
      <c r="I198" s="387"/>
      <c r="J198" s="370"/>
      <c r="K198" s="370"/>
      <c r="L198" s="370"/>
      <c r="M198" s="386"/>
      <c r="N198" s="377"/>
    </row>
    <row r="199" spans="1:14" ht="19" customHeight="1" x14ac:dyDescent="0.25">
      <c r="A199" s="353"/>
      <c r="B199" s="358" t="str">
        <f>Idiomas!D130</f>
        <v>ROUND OF 16</v>
      </c>
      <c r="C199" s="350"/>
      <c r="D199" s="370"/>
      <c r="E199" s="370"/>
      <c r="F199" s="370"/>
      <c r="G199" s="370"/>
      <c r="H199" s="370"/>
      <c r="I199" s="388"/>
      <c r="J199" s="370"/>
      <c r="K199" s="370"/>
      <c r="L199" s="370"/>
      <c r="M199" s="386"/>
      <c r="N199" s="377"/>
    </row>
    <row r="200" spans="1:14" ht="15" customHeight="1" x14ac:dyDescent="0.2">
      <c r="A200" s="703" t="s">
        <v>89</v>
      </c>
      <c r="B200" s="361" t="str">
        <f>CONCATENATE(WORLDCUP!AA120,"-",WORLDCUP!AF120)</f>
        <v>W73-W75</v>
      </c>
      <c r="C200" s="351" t="str">
        <f>CONCATENATE(WORLDCUP!AA120,"-",WORLDCUP!AF120,"·",IF(WORLDCUP!AC120&gt;WORLDCUP!AD120,1,IF(WORLDCUP!AC120&lt;WORLDCUP!AD120,2,IF(AND(WORLDCUP!AC120=WORLDCUP!AD120,WORLDCUP!AC120&lt;&gt;"",WORLDCUP!AD120&lt;&gt;""),"X",0))),"|",WORLDCUP!AC120,"-",WORLDCUP!AD120)</f>
        <v>W73-W75·0|-</v>
      </c>
      <c r="D200" s="686" t="s">
        <v>89</v>
      </c>
      <c r="E200" s="685" t="str">
        <f>Idiomas!D116</f>
        <v>·For the round of 16 matches, copy from C200 to C217 and paste in the administrator template in "Paste Values Round of 16"</v>
      </c>
      <c r="F200" s="685"/>
      <c r="G200" s="685"/>
      <c r="H200" s="685"/>
      <c r="I200" s="352"/>
      <c r="J200" s="370"/>
      <c r="K200" s="370"/>
      <c r="L200" s="370"/>
      <c r="M200" s="386"/>
      <c r="N200" s="377"/>
    </row>
    <row r="201" spans="1:14" ht="15" customHeight="1" x14ac:dyDescent="0.2">
      <c r="A201" s="703"/>
      <c r="B201" s="361" t="str">
        <f>CONCATENATE(WORLDCUP!AA121,"-",WORLDCUP!AF121)</f>
        <v>W74-W77</v>
      </c>
      <c r="C201" s="351" t="str">
        <f>CONCATENATE(WORLDCUP!AA121,"-",WORLDCUP!AF121,"·",IF(WORLDCUP!AC121&gt;WORLDCUP!AD121,1,IF(WORLDCUP!AC121&lt;WORLDCUP!AD121,2,IF(AND(WORLDCUP!AC121=WORLDCUP!AD121,WORLDCUP!AC121&lt;&gt;"",WORLDCUP!AD121&lt;&gt;""),"X",0))),"|",WORLDCUP!AC121,"-",WORLDCUP!AD121)</f>
        <v>W74-W77·0|-</v>
      </c>
      <c r="D201" s="686"/>
      <c r="E201" s="685"/>
      <c r="F201" s="685"/>
      <c r="G201" s="685"/>
      <c r="H201" s="685"/>
      <c r="I201" s="352"/>
      <c r="J201" s="370"/>
      <c r="K201" s="370"/>
      <c r="L201" s="370"/>
      <c r="M201" s="386"/>
      <c r="N201" s="377"/>
    </row>
    <row r="202" spans="1:14" ht="15" customHeight="1" x14ac:dyDescent="0.2">
      <c r="A202" s="703"/>
      <c r="B202" s="361" t="str">
        <f>CONCATENATE(WORLDCUP!AA122,"-",WORLDCUP!AF122)</f>
        <v>W76-W78</v>
      </c>
      <c r="C202" s="351" t="str">
        <f>CONCATENATE(WORLDCUP!AA122,"-",WORLDCUP!AF122,"·",IF(WORLDCUP!AC122&gt;WORLDCUP!AD122,1,IF(WORLDCUP!AC122&lt;WORLDCUP!AD122,2,IF(AND(WORLDCUP!AC122=WORLDCUP!AD122,WORLDCUP!AC122&lt;&gt;"",WORLDCUP!AD122&lt;&gt;""),"X",0))),"|",WORLDCUP!AC122,"-",WORLDCUP!AD122)</f>
        <v>W76-W78·0|-</v>
      </c>
      <c r="D202" s="686"/>
      <c r="E202" s="685"/>
      <c r="F202" s="685"/>
      <c r="G202" s="685"/>
      <c r="H202" s="685"/>
      <c r="I202" s="352"/>
      <c r="J202" s="370"/>
      <c r="K202" s="370"/>
      <c r="L202" s="370"/>
      <c r="M202" s="386"/>
      <c r="N202" s="377"/>
    </row>
    <row r="203" spans="1:14" ht="15" customHeight="1" x14ac:dyDescent="0.2">
      <c r="A203" s="703"/>
      <c r="B203" s="361" t="str">
        <f>CONCATENATE(WORLDCUP!AA123,"-",WORLDCUP!AF123)</f>
        <v>W79-W80</v>
      </c>
      <c r="C203" s="351" t="str">
        <f>CONCATENATE(WORLDCUP!AA123,"-",WORLDCUP!AF123,"·",IF(WORLDCUP!AC123&gt;WORLDCUP!AD123,1,IF(WORLDCUP!AC123&lt;WORLDCUP!AD123,2,IF(AND(WORLDCUP!AC123=WORLDCUP!AD123,WORLDCUP!AC123&lt;&gt;"",WORLDCUP!AD123&lt;&gt;""),"X",0))),"|",WORLDCUP!AC123,"-",WORLDCUP!AD123)</f>
        <v>W79-W80·0|-</v>
      </c>
      <c r="D203" s="686"/>
      <c r="E203" s="685"/>
      <c r="F203" s="685"/>
      <c r="G203" s="685"/>
      <c r="H203" s="685"/>
      <c r="I203" s="352"/>
      <c r="J203" s="370"/>
      <c r="K203" s="370"/>
      <c r="L203" s="370"/>
      <c r="M203" s="386"/>
      <c r="N203" s="377"/>
    </row>
    <row r="204" spans="1:14" ht="15" customHeight="1" x14ac:dyDescent="0.2">
      <c r="A204" s="703"/>
      <c r="B204" s="361" t="str">
        <f>CONCATENATE(WORLDCUP!AA124,"-",WORLDCUP!AF124)</f>
        <v>W83-W84</v>
      </c>
      <c r="C204" s="351" t="str">
        <f>CONCATENATE(WORLDCUP!AA124,"-",WORLDCUP!AF124,"·",IF(WORLDCUP!AC124&gt;WORLDCUP!AD124,1,IF(WORLDCUP!AC124&lt;WORLDCUP!AD124,2,IF(AND(WORLDCUP!AC124=WORLDCUP!AD124,WORLDCUP!AC124&lt;&gt;"",WORLDCUP!AD124&lt;&gt;""),"X",0))),"|",WORLDCUP!AC124,"-",WORLDCUP!AD124)</f>
        <v>W83-W84·0|-</v>
      </c>
      <c r="D204" s="686"/>
      <c r="E204" s="352"/>
      <c r="F204" s="352"/>
      <c r="G204" s="352"/>
      <c r="H204" s="352"/>
      <c r="I204" s="352"/>
      <c r="J204" s="370"/>
      <c r="K204" s="370"/>
      <c r="L204" s="370"/>
      <c r="M204" s="386"/>
      <c r="N204" s="377"/>
    </row>
    <row r="205" spans="1:14" ht="15" customHeight="1" x14ac:dyDescent="0.2">
      <c r="A205" s="703"/>
      <c r="B205" s="361" t="str">
        <f>CONCATENATE(WORLDCUP!AA125,"-",WORLDCUP!AF125)</f>
        <v>W81-W82</v>
      </c>
      <c r="C205" s="351" t="str">
        <f>CONCATENATE(WORLDCUP!AA125,"-",WORLDCUP!AF125,"·",IF(WORLDCUP!AC125&gt;WORLDCUP!AD125,1,IF(WORLDCUP!AC125&lt;WORLDCUP!AD125,2,IF(AND(WORLDCUP!AC125=WORLDCUP!AD125,WORLDCUP!AC125&lt;&gt;"",WORLDCUP!AD125&lt;&gt;""),"X",0))),"|",WORLDCUP!AC125,"-",WORLDCUP!AD125)</f>
        <v>W81-W82·0|-</v>
      </c>
      <c r="D205" s="686"/>
      <c r="E205" s="352"/>
      <c r="F205" s="352"/>
      <c r="G205" s="352"/>
      <c r="H205" s="352"/>
      <c r="I205" s="352"/>
      <c r="J205" s="370"/>
      <c r="K205" s="370"/>
      <c r="L205" s="370"/>
      <c r="M205" s="386"/>
      <c r="N205" s="377"/>
    </row>
    <row r="206" spans="1:14" ht="15" customHeight="1" x14ac:dyDescent="0.2">
      <c r="A206" s="703"/>
      <c r="B206" s="361" t="str">
        <f>CONCATENATE(WORLDCUP!AA126,"-",WORLDCUP!AF126)</f>
        <v>W86-W88</v>
      </c>
      <c r="C206" s="351" t="str">
        <f>CONCATENATE(WORLDCUP!AA126,"-",WORLDCUP!AF126,"·",IF(WORLDCUP!AC126&gt;WORLDCUP!AD126,1,IF(WORLDCUP!AC126&lt;WORLDCUP!AD126,2,IF(AND(WORLDCUP!AC126=WORLDCUP!AD126,WORLDCUP!AC126&lt;&gt;"",WORLDCUP!AD126&lt;&gt;""),"X",0))),"|",WORLDCUP!AC126,"-",WORLDCUP!AD126)</f>
        <v>W86-W88·0|-</v>
      </c>
      <c r="D206" s="686"/>
      <c r="E206" s="352"/>
      <c r="F206" s="352"/>
      <c r="G206" s="352"/>
      <c r="H206" s="352"/>
      <c r="I206" s="352"/>
      <c r="J206" s="370"/>
      <c r="K206" s="370"/>
      <c r="L206" s="370"/>
      <c r="M206" s="386"/>
      <c r="N206" s="377"/>
    </row>
    <row r="207" spans="1:14" ht="15" customHeight="1" x14ac:dyDescent="0.2">
      <c r="A207" s="703"/>
      <c r="B207" s="361" t="str">
        <f>CONCATENATE(WORLDCUP!AA127,"-",WORLDCUP!AF127)</f>
        <v>W85-W87</v>
      </c>
      <c r="C207" s="351" t="str">
        <f>CONCATENATE(WORLDCUP!AA127,"-",WORLDCUP!AF127,"·",IF(WORLDCUP!AC127&gt;WORLDCUP!AD127,1,IF(WORLDCUP!AC127&lt;WORLDCUP!AD127,2,IF(AND(WORLDCUP!AC127=WORLDCUP!AD127,WORLDCUP!AC127&lt;&gt;"",WORLDCUP!AD127&lt;&gt;""),"X",0))),"|",WORLDCUP!AC127,"-",WORLDCUP!AD127)</f>
        <v>W85-W87·0|-</v>
      </c>
      <c r="D207" s="686"/>
      <c r="E207" s="352"/>
      <c r="F207" s="352"/>
      <c r="G207" s="352"/>
      <c r="H207" s="352"/>
      <c r="I207" s="352"/>
      <c r="J207" s="370"/>
      <c r="K207" s="370"/>
      <c r="L207" s="370"/>
      <c r="M207" s="386"/>
      <c r="N207" s="377"/>
    </row>
    <row r="208" spans="1:14" ht="15" customHeight="1" x14ac:dyDescent="0.2">
      <c r="A208" s="353"/>
      <c r="B208" s="353"/>
      <c r="C208" s="350"/>
      <c r="D208" s="686"/>
      <c r="E208" s="370"/>
      <c r="F208" s="370"/>
      <c r="G208" s="370"/>
      <c r="H208" s="370"/>
      <c r="I208" s="352"/>
      <c r="J208" s="370"/>
      <c r="K208" s="370"/>
      <c r="L208" s="370"/>
      <c r="M208" s="386"/>
      <c r="N208" s="377"/>
    </row>
    <row r="209" spans="1:14" ht="19" customHeight="1" x14ac:dyDescent="0.25">
      <c r="A209" s="353"/>
      <c r="B209" s="358" t="str">
        <f>Idiomas!D131</f>
        <v>QUARTER-FINALISTS</v>
      </c>
      <c r="C209" s="350"/>
      <c r="D209" s="686"/>
      <c r="E209" s="370"/>
      <c r="F209" s="370"/>
      <c r="G209" s="370"/>
      <c r="H209" s="370"/>
      <c r="I209" s="352"/>
      <c r="J209" s="370"/>
      <c r="K209" s="370"/>
      <c r="L209" s="370"/>
      <c r="M209" s="386"/>
      <c r="N209" s="377"/>
    </row>
    <row r="210" spans="1:14" ht="15" customHeight="1" x14ac:dyDescent="0.2">
      <c r="A210" s="703" t="s">
        <v>36</v>
      </c>
      <c r="B210" s="360" t="str">
        <f>Idiomas!$D$190</f>
        <v>Quarterfinalist</v>
      </c>
      <c r="C210" s="349" t="str">
        <f>WORLDCUP!AA131</f>
        <v>W89</v>
      </c>
      <c r="D210" s="686"/>
      <c r="E210" s="370"/>
      <c r="F210" s="370"/>
      <c r="G210" s="370"/>
      <c r="H210" s="370"/>
      <c r="I210" s="352"/>
      <c r="J210" s="370"/>
      <c r="K210" s="370"/>
      <c r="L210" s="370"/>
      <c r="M210" s="386"/>
      <c r="N210" s="377"/>
    </row>
    <row r="211" spans="1:14" ht="15" customHeight="1" x14ac:dyDescent="0.2">
      <c r="A211" s="703"/>
      <c r="B211" s="360" t="str">
        <f>B210</f>
        <v>Quarterfinalist</v>
      </c>
      <c r="C211" s="349" t="str">
        <f>WORLDCUP!AA132</f>
        <v>W93</v>
      </c>
      <c r="D211" s="686"/>
      <c r="E211" s="370"/>
      <c r="F211" s="370"/>
      <c r="G211" s="370"/>
      <c r="H211" s="370"/>
      <c r="I211" s="352"/>
      <c r="J211" s="370"/>
      <c r="K211" s="370"/>
      <c r="L211" s="370"/>
      <c r="M211" s="386"/>
      <c r="N211" s="377"/>
    </row>
    <row r="212" spans="1:14" ht="15" customHeight="1" x14ac:dyDescent="0.2">
      <c r="A212" s="703"/>
      <c r="B212" s="360" t="str">
        <f t="shared" ref="B212:B217" si="3">B211</f>
        <v>Quarterfinalist</v>
      </c>
      <c r="C212" s="349" t="str">
        <f>WORLDCUP!AA133</f>
        <v>W91</v>
      </c>
      <c r="D212" s="686"/>
      <c r="E212" s="370"/>
      <c r="F212" s="370"/>
      <c r="G212" s="370"/>
      <c r="H212" s="370"/>
      <c r="I212" s="352"/>
      <c r="J212" s="370"/>
      <c r="K212" s="370"/>
      <c r="L212" s="370"/>
      <c r="M212" s="386"/>
      <c r="N212" s="377"/>
    </row>
    <row r="213" spans="1:14" ht="15" customHeight="1" x14ac:dyDescent="0.2">
      <c r="A213" s="703"/>
      <c r="B213" s="360" t="str">
        <f t="shared" si="3"/>
        <v>Quarterfinalist</v>
      </c>
      <c r="C213" s="349" t="str">
        <f>WORLDCUP!AA134</f>
        <v>W95</v>
      </c>
      <c r="D213" s="686"/>
      <c r="E213" s="370"/>
      <c r="F213" s="370"/>
      <c r="G213" s="370"/>
      <c r="H213" s="370"/>
      <c r="I213" s="352"/>
      <c r="J213" s="370"/>
      <c r="K213" s="370"/>
      <c r="L213" s="370"/>
      <c r="M213" s="386"/>
      <c r="N213" s="377"/>
    </row>
    <row r="214" spans="1:14" ht="15" customHeight="1" x14ac:dyDescent="0.2">
      <c r="A214" s="703"/>
      <c r="B214" s="360" t="str">
        <f t="shared" si="3"/>
        <v>Quarterfinalist</v>
      </c>
      <c r="C214" s="349" t="str">
        <f>WORLDCUP!AF131</f>
        <v>W90</v>
      </c>
      <c r="D214" s="686"/>
      <c r="E214" s="370"/>
      <c r="F214" s="370"/>
      <c r="G214" s="370"/>
      <c r="H214" s="370"/>
      <c r="I214" s="352"/>
      <c r="J214" s="370"/>
      <c r="K214" s="370"/>
      <c r="L214" s="370"/>
      <c r="M214" s="386"/>
      <c r="N214" s="377"/>
    </row>
    <row r="215" spans="1:14" ht="15" customHeight="1" x14ac:dyDescent="0.2">
      <c r="A215" s="703"/>
      <c r="B215" s="360" t="str">
        <f t="shared" si="3"/>
        <v>Quarterfinalist</v>
      </c>
      <c r="C215" s="349" t="str">
        <f>WORLDCUP!AF132</f>
        <v>W94</v>
      </c>
      <c r="D215" s="686"/>
      <c r="E215" s="370"/>
      <c r="F215" s="370"/>
      <c r="G215" s="370"/>
      <c r="H215" s="370"/>
      <c r="I215" s="352"/>
      <c r="J215" s="370"/>
      <c r="K215" s="370"/>
      <c r="L215" s="370"/>
      <c r="M215" s="386"/>
      <c r="N215" s="377"/>
    </row>
    <row r="216" spans="1:14" ht="15" customHeight="1" x14ac:dyDescent="0.2">
      <c r="A216" s="703"/>
      <c r="B216" s="360" t="str">
        <f t="shared" si="3"/>
        <v>Quarterfinalist</v>
      </c>
      <c r="C216" s="349" t="str">
        <f>WORLDCUP!AF133</f>
        <v>W92</v>
      </c>
      <c r="D216" s="686"/>
      <c r="E216" s="370"/>
      <c r="F216" s="370"/>
      <c r="G216" s="370"/>
      <c r="H216" s="370"/>
      <c r="I216" s="352"/>
      <c r="J216" s="370"/>
      <c r="K216" s="370"/>
      <c r="L216" s="370"/>
      <c r="M216" s="386"/>
      <c r="N216" s="377"/>
    </row>
    <row r="217" spans="1:14" ht="15" customHeight="1" x14ac:dyDescent="0.2">
      <c r="A217" s="703"/>
      <c r="B217" s="360" t="str">
        <f t="shared" si="3"/>
        <v>Quarterfinalist</v>
      </c>
      <c r="C217" s="349" t="str">
        <f>WORLDCUP!AF134</f>
        <v>W96</v>
      </c>
      <c r="D217" s="686"/>
      <c r="E217" s="373"/>
      <c r="F217" s="373"/>
      <c r="G217" s="373"/>
      <c r="H217" s="373"/>
      <c r="I217" s="352"/>
      <c r="J217" s="370"/>
      <c r="K217" s="370"/>
      <c r="L217" s="370"/>
      <c r="M217" s="386"/>
      <c r="N217" s="377"/>
    </row>
    <row r="218" spans="1:14" x14ac:dyDescent="0.2">
      <c r="A218" s="353"/>
      <c r="B218" s="353"/>
      <c r="C218" s="350"/>
      <c r="D218" s="370"/>
      <c r="E218" s="370"/>
      <c r="F218" s="370"/>
      <c r="G218" s="370"/>
      <c r="H218" s="370"/>
      <c r="I218" s="387"/>
      <c r="J218" s="370"/>
      <c r="K218" s="370"/>
      <c r="L218" s="370"/>
      <c r="M218" s="386"/>
      <c r="N218" s="377"/>
    </row>
    <row r="219" spans="1:14" ht="19" x14ac:dyDescent="0.25">
      <c r="A219" s="353"/>
      <c r="B219" s="358" t="str">
        <f>Idiomas!D132</f>
        <v>QUARTERFINALS</v>
      </c>
      <c r="C219" s="350"/>
      <c r="D219" s="370"/>
      <c r="E219" s="370"/>
      <c r="F219" s="370"/>
      <c r="G219" s="370"/>
      <c r="H219" s="370"/>
      <c r="I219" s="388"/>
      <c r="J219" s="370"/>
      <c r="K219" s="370"/>
      <c r="L219" s="370"/>
      <c r="M219" s="386"/>
      <c r="N219" s="377"/>
    </row>
    <row r="220" spans="1:14" ht="15" customHeight="1" x14ac:dyDescent="0.2">
      <c r="A220" s="703" t="s">
        <v>36</v>
      </c>
      <c r="B220" s="360" t="str">
        <f>CONCATENATE(WORLDCUP!AA131,"-",WORLDCUP!AF131)</f>
        <v>W89-W90</v>
      </c>
      <c r="C220" s="349" t="str">
        <f>CONCATENATE(WORLDCUP!AA131,"-",WORLDCUP!AF131,"·",IF(WORLDCUP!AC131&gt;WORLDCUP!AD131,1,IF(WORLDCUP!AC131&lt;WORLDCUP!AD131,2,IF(AND(WORLDCUP!AC131=WORLDCUP!AD131,WORLDCUP!AC131&lt;&gt;"",WORLDCUP!AD131&lt;&gt;""),"X",0))),"|",WORLDCUP!AC131,"-",WORLDCUP!AD131)</f>
        <v>W89-W90·0|-</v>
      </c>
      <c r="D220" s="706" t="s">
        <v>36</v>
      </c>
      <c r="E220" s="685" t="str">
        <f>Idiomas!D117</f>
        <v>·For the round of Quarterfinals matches, copy from C220 to C229 and paste in the administrator template in "Paste Values Quarterfinals"</v>
      </c>
      <c r="F220" s="685"/>
      <c r="G220" s="685"/>
      <c r="H220" s="685"/>
      <c r="I220" s="352"/>
      <c r="J220" s="370"/>
      <c r="K220" s="370"/>
      <c r="L220" s="370"/>
      <c r="M220" s="386"/>
      <c r="N220" s="377"/>
    </row>
    <row r="221" spans="1:14" ht="15" customHeight="1" x14ac:dyDescent="0.2">
      <c r="A221" s="703"/>
      <c r="B221" s="360" t="str">
        <f>CONCATENATE(WORLDCUP!AA132,"-",WORLDCUP!AF132)</f>
        <v>W93-W94</v>
      </c>
      <c r="C221" s="349" t="str">
        <f>CONCATENATE(WORLDCUP!AA132,"-",WORLDCUP!AF132,"·",IF(WORLDCUP!AC132&gt;WORLDCUP!AD132,1,IF(WORLDCUP!AC132&lt;WORLDCUP!AD132,2,IF(AND(WORLDCUP!AC132=WORLDCUP!AD132,WORLDCUP!AC132&lt;&gt;"",WORLDCUP!AD132&lt;&gt;""),"X",0))),"|",WORLDCUP!AC132,"-",WORLDCUP!AD132)</f>
        <v>W93-W94·0|-</v>
      </c>
      <c r="D221" s="706"/>
      <c r="E221" s="685"/>
      <c r="F221" s="685"/>
      <c r="G221" s="685"/>
      <c r="H221" s="685"/>
      <c r="I221" s="352"/>
      <c r="J221" s="370"/>
      <c r="K221" s="370"/>
      <c r="L221" s="370"/>
      <c r="M221" s="386"/>
      <c r="N221" s="377"/>
    </row>
    <row r="222" spans="1:14" ht="15" customHeight="1" x14ac:dyDescent="0.2">
      <c r="A222" s="703"/>
      <c r="B222" s="360" t="str">
        <f>CONCATENATE(WORLDCUP!AA133,"-",WORLDCUP!AF133)</f>
        <v>W91-W92</v>
      </c>
      <c r="C222" s="349" t="str">
        <f>CONCATENATE(WORLDCUP!AA133,"-",WORLDCUP!AF133,"·",IF(WORLDCUP!AC133&gt;WORLDCUP!AD133,1,IF(WORLDCUP!AC133&lt;WORLDCUP!AD133,2,IF(AND(WORLDCUP!AC133=WORLDCUP!AD133,WORLDCUP!AC133&lt;&gt;"",WORLDCUP!AD133&lt;&gt;""),"X",0))),"|",WORLDCUP!AC133,"-",WORLDCUP!AD133)</f>
        <v>W91-W92·0|-</v>
      </c>
      <c r="D222" s="706"/>
      <c r="E222" s="685"/>
      <c r="F222" s="685"/>
      <c r="G222" s="685"/>
      <c r="H222" s="685"/>
      <c r="I222" s="352"/>
      <c r="J222" s="370"/>
      <c r="K222" s="370"/>
      <c r="L222" s="370"/>
      <c r="M222" s="386"/>
      <c r="N222" s="377"/>
    </row>
    <row r="223" spans="1:14" ht="15" customHeight="1" x14ac:dyDescent="0.2">
      <c r="A223" s="703"/>
      <c r="B223" s="360" t="str">
        <f>CONCATENATE(WORLDCUP!AA134,"-",WORLDCUP!AF134)</f>
        <v>W95-W96</v>
      </c>
      <c r="C223" s="349" t="str">
        <f>CONCATENATE(WORLDCUP!AA134,"-",WORLDCUP!AF134,"·",IF(WORLDCUP!AC134&gt;WORLDCUP!AD134,1,IF(WORLDCUP!AC134&lt;WORLDCUP!AD134,2,IF(AND(WORLDCUP!AC134=WORLDCUP!AD134,WORLDCUP!AC134&lt;&gt;"",WORLDCUP!AD134&lt;&gt;""),"X",0))),"|",WORLDCUP!AC134,"-",WORLDCUP!AD134)</f>
        <v>W95-W96·0|-</v>
      </c>
      <c r="D223" s="706"/>
      <c r="E223" s="685"/>
      <c r="F223" s="685"/>
      <c r="G223" s="685"/>
      <c r="H223" s="685"/>
      <c r="I223" s="352"/>
      <c r="J223" s="370"/>
      <c r="K223" s="370"/>
      <c r="L223" s="370"/>
      <c r="M223" s="386"/>
      <c r="N223" s="377"/>
    </row>
    <row r="224" spans="1:14" x14ac:dyDescent="0.2">
      <c r="A224" s="353"/>
      <c r="B224" s="353"/>
      <c r="C224" s="350"/>
      <c r="D224" s="706"/>
      <c r="E224" s="352"/>
      <c r="F224" s="352"/>
      <c r="G224" s="352"/>
      <c r="H224" s="352"/>
      <c r="I224" s="352"/>
      <c r="J224" s="370"/>
      <c r="K224" s="370"/>
      <c r="L224" s="370"/>
      <c r="M224" s="386"/>
      <c r="N224" s="377"/>
    </row>
    <row r="225" spans="1:14" ht="19" x14ac:dyDescent="0.25">
      <c r="A225" s="353"/>
      <c r="B225" s="358" t="str">
        <f>Idiomas!D133</f>
        <v>QUALIFIED FOR SEMIFINALS</v>
      </c>
      <c r="C225" s="350"/>
      <c r="D225" s="706"/>
      <c r="E225" s="370"/>
      <c r="F225" s="370"/>
      <c r="G225" s="370"/>
      <c r="H225" s="370"/>
      <c r="I225" s="352"/>
      <c r="J225" s="370"/>
      <c r="K225" s="370"/>
      <c r="L225" s="370"/>
      <c r="M225" s="386"/>
      <c r="N225" s="377"/>
    </row>
    <row r="226" spans="1:14" ht="15" customHeight="1" x14ac:dyDescent="0.2">
      <c r="A226" s="703" t="s">
        <v>37</v>
      </c>
      <c r="B226" s="360" t="str">
        <f>Idiomas!$D$191</f>
        <v>Semifinalist</v>
      </c>
      <c r="C226" s="349" t="str">
        <f>WORLDCUP!AA138</f>
        <v>W97</v>
      </c>
      <c r="D226" s="706"/>
      <c r="E226" s="370"/>
      <c r="F226" s="370"/>
      <c r="G226" s="370"/>
      <c r="H226" s="370"/>
      <c r="I226" s="352"/>
      <c r="J226" s="370"/>
      <c r="K226" s="370"/>
      <c r="L226" s="370"/>
      <c r="M226" s="386"/>
      <c r="N226" s="377"/>
    </row>
    <row r="227" spans="1:14" ht="15" customHeight="1" x14ac:dyDescent="0.2">
      <c r="A227" s="703"/>
      <c r="B227" s="360" t="str">
        <f>Idiomas!$D$191</f>
        <v>Semifinalist</v>
      </c>
      <c r="C227" s="349" t="str">
        <f>WORLDCUP!AA139</f>
        <v>W99</v>
      </c>
      <c r="D227" s="706"/>
      <c r="E227" s="370"/>
      <c r="F227" s="370"/>
      <c r="G227" s="370"/>
      <c r="H227" s="370"/>
      <c r="I227" s="352"/>
      <c r="J227" s="370"/>
      <c r="K227" s="370"/>
      <c r="L227" s="370"/>
      <c r="M227" s="386"/>
      <c r="N227" s="377"/>
    </row>
    <row r="228" spans="1:14" ht="15" customHeight="1" x14ac:dyDescent="0.2">
      <c r="A228" s="703"/>
      <c r="B228" s="360" t="str">
        <f>Idiomas!$D$191</f>
        <v>Semifinalist</v>
      </c>
      <c r="C228" s="349" t="str">
        <f>WORLDCUP!AF138</f>
        <v>W98</v>
      </c>
      <c r="D228" s="706"/>
      <c r="E228" s="370"/>
      <c r="F228" s="370"/>
      <c r="G228" s="370"/>
      <c r="H228" s="370"/>
      <c r="I228" s="352"/>
      <c r="J228" s="370"/>
      <c r="K228" s="370"/>
      <c r="L228" s="370"/>
      <c r="M228" s="386"/>
      <c r="N228" s="377"/>
    </row>
    <row r="229" spans="1:14" ht="15" customHeight="1" x14ac:dyDescent="0.2">
      <c r="A229" s="703"/>
      <c r="B229" s="360" t="str">
        <f>Idiomas!$D$191</f>
        <v>Semifinalist</v>
      </c>
      <c r="C229" s="349" t="str">
        <f>WORLDCUP!AF139</f>
        <v>W100</v>
      </c>
      <c r="D229" s="706"/>
      <c r="E229" s="373"/>
      <c r="F229" s="373"/>
      <c r="G229" s="373"/>
      <c r="H229" s="373"/>
      <c r="I229" s="352"/>
      <c r="J229" s="370"/>
      <c r="K229" s="370"/>
      <c r="L229" s="370"/>
      <c r="M229" s="386"/>
      <c r="N229" s="377"/>
    </row>
    <row r="230" spans="1:14" x14ac:dyDescent="0.2">
      <c r="A230" s="353"/>
      <c r="B230" s="353"/>
      <c r="C230" s="350"/>
      <c r="D230" s="370"/>
      <c r="E230" s="370"/>
      <c r="F230" s="370"/>
      <c r="G230" s="370"/>
      <c r="H230" s="370"/>
      <c r="I230" s="388"/>
      <c r="J230" s="370"/>
      <c r="K230" s="370"/>
      <c r="L230" s="370"/>
      <c r="M230" s="386"/>
      <c r="N230" s="377"/>
    </row>
    <row r="231" spans="1:14" ht="19" customHeight="1" x14ac:dyDescent="0.25">
      <c r="A231" s="353"/>
      <c r="B231" s="358" t="str">
        <f>Idiomas!D134</f>
        <v>SEMIFINALS</v>
      </c>
      <c r="C231" s="350"/>
      <c r="D231" s="370"/>
      <c r="E231" s="370"/>
      <c r="F231" s="370"/>
      <c r="G231" s="370"/>
      <c r="H231" s="370"/>
      <c r="I231" s="388"/>
      <c r="J231" s="370"/>
      <c r="K231" s="370"/>
      <c r="L231" s="370"/>
      <c r="M231" s="386"/>
      <c r="N231" s="377"/>
    </row>
    <row r="232" spans="1:14" ht="15" customHeight="1" x14ac:dyDescent="0.2">
      <c r="A232" s="710" t="s">
        <v>37</v>
      </c>
      <c r="B232" s="360" t="str">
        <f>CONCATENATE(WORLDCUP!AA138,"-",WORLDCUP!AF138)</f>
        <v>W97-W98</v>
      </c>
      <c r="C232" s="351" t="str">
        <f>CONCATENATE(WORLDCUP!AA138,"-",WORLDCUP!AF138,"·",IF(WORLDCUP!AC138&gt;WORLDCUP!AD138,1,IF(WORLDCUP!AC138&lt;WORLDCUP!AD138,2,IF(AND(WORLDCUP!AC138=WORLDCUP!AD138,WORLDCUP!AC138&lt;&gt;"",WORLDCUP!AD138&lt;&gt;""),"X",0))),"|",WORLDCUP!AC138,"-",WORLDCUP!AD138)</f>
        <v>W97-W98·0|-</v>
      </c>
      <c r="D232" s="686" t="s">
        <v>37</v>
      </c>
      <c r="E232" s="685" t="str">
        <f>Idiomas!D118</f>
        <v>·For the round of Semi-Finals matches, copy from C232 to C241 and paste in the administrator template in "Paste Values Semifinals"</v>
      </c>
      <c r="F232" s="685"/>
      <c r="G232" s="685"/>
      <c r="H232" s="685"/>
      <c r="I232" s="352"/>
      <c r="J232" s="370"/>
      <c r="K232" s="370"/>
      <c r="L232" s="370"/>
      <c r="M232" s="386"/>
      <c r="N232" s="377"/>
    </row>
    <row r="233" spans="1:14" ht="15" customHeight="1" x14ac:dyDescent="0.2">
      <c r="A233" s="710"/>
      <c r="B233" s="360" t="str">
        <f>CONCATENATE(WORLDCUP!AA139,"-",WORLDCUP!AF139)</f>
        <v>W99-W100</v>
      </c>
      <c r="C233" s="351" t="str">
        <f>CONCATENATE(WORLDCUP!AA139,"-",WORLDCUP!AF139,"·",IF(WORLDCUP!AC139&gt;WORLDCUP!AD139,1,IF(WORLDCUP!AC139&lt;WORLDCUP!AD139,2,IF(AND(WORLDCUP!AC139=WORLDCUP!AD139,WORLDCUP!AC139&lt;&gt;"",WORLDCUP!AD139&lt;&gt;""),"X",0))),"|",WORLDCUP!AC139,"-",WORLDCUP!AD139)</f>
        <v>W99-W100·0|-</v>
      </c>
      <c r="D233" s="686"/>
      <c r="E233" s="685"/>
      <c r="F233" s="685"/>
      <c r="G233" s="685"/>
      <c r="H233" s="685"/>
      <c r="I233" s="352"/>
      <c r="J233" s="370"/>
      <c r="K233" s="370"/>
      <c r="L233" s="370"/>
      <c r="M233" s="386"/>
      <c r="N233" s="377"/>
    </row>
    <row r="234" spans="1:14" ht="15" customHeight="1" x14ac:dyDescent="0.2">
      <c r="A234" s="353"/>
      <c r="B234" s="353"/>
      <c r="C234" s="350"/>
      <c r="D234" s="686"/>
      <c r="E234" s="685"/>
      <c r="F234" s="685"/>
      <c r="G234" s="685"/>
      <c r="H234" s="685"/>
      <c r="I234" s="352"/>
      <c r="J234" s="370"/>
      <c r="K234" s="370"/>
      <c r="L234" s="370"/>
      <c r="M234" s="386"/>
      <c r="N234" s="377"/>
    </row>
    <row r="235" spans="1:14" ht="19" x14ac:dyDescent="0.25">
      <c r="A235" s="353"/>
      <c r="B235" s="358" t="str">
        <f>Idiomas!D135</f>
        <v>QUALIFIED FOR 3rd-4th PLACE</v>
      </c>
      <c r="C235" s="350"/>
      <c r="D235" s="686"/>
      <c r="E235" s="685"/>
      <c r="F235" s="685"/>
      <c r="G235" s="685"/>
      <c r="H235" s="685"/>
      <c r="I235" s="352"/>
      <c r="J235" s="370"/>
      <c r="K235" s="370"/>
      <c r="L235" s="370"/>
      <c r="M235" s="386"/>
      <c r="N235" s="377"/>
    </row>
    <row r="236" spans="1:14" ht="15" customHeight="1" x14ac:dyDescent="0.2">
      <c r="A236" s="710" t="s">
        <v>503</v>
      </c>
      <c r="B236" s="360" t="str">
        <f>Idiomas!D192</f>
        <v>3rd-4th place</v>
      </c>
      <c r="C236" s="349" t="str">
        <f>WORLDCUP!AA143</f>
        <v>L101</v>
      </c>
      <c r="D236" s="686"/>
      <c r="E236" s="374"/>
      <c r="F236" s="374"/>
      <c r="G236" s="374"/>
      <c r="H236" s="374"/>
      <c r="I236" s="352"/>
      <c r="J236" s="370"/>
      <c r="K236" s="370"/>
      <c r="L236" s="370"/>
      <c r="M236" s="386"/>
      <c r="N236" s="377"/>
    </row>
    <row r="237" spans="1:14" ht="15" customHeight="1" x14ac:dyDescent="0.2">
      <c r="A237" s="710"/>
      <c r="B237" s="360" t="str">
        <f>Idiomas!D192</f>
        <v>3rd-4th place</v>
      </c>
      <c r="C237" s="349" t="str">
        <f>WORLDCUP!AF143</f>
        <v>L102</v>
      </c>
      <c r="D237" s="686"/>
      <c r="E237" s="374"/>
      <c r="F237" s="374"/>
      <c r="G237" s="374"/>
      <c r="H237" s="374"/>
      <c r="I237" s="352"/>
      <c r="J237" s="370"/>
      <c r="K237" s="370"/>
      <c r="L237" s="370"/>
      <c r="M237" s="386"/>
      <c r="N237" s="377"/>
    </row>
    <row r="238" spans="1:14" ht="15" customHeight="1" x14ac:dyDescent="0.2">
      <c r="A238" s="353"/>
      <c r="B238" s="353"/>
      <c r="C238" s="350"/>
      <c r="D238" s="686"/>
      <c r="E238" s="374"/>
      <c r="F238" s="374"/>
      <c r="G238" s="374"/>
      <c r="H238" s="374"/>
      <c r="I238" s="352"/>
      <c r="J238" s="370"/>
      <c r="K238" s="370"/>
      <c r="L238" s="370"/>
      <c r="M238" s="386"/>
      <c r="N238" s="377"/>
    </row>
    <row r="239" spans="1:14" ht="19" customHeight="1" x14ac:dyDescent="0.25">
      <c r="A239" s="353"/>
      <c r="B239" s="358" t="str">
        <f>Idiomas!D136</f>
        <v>QUALIFIED FOR THE FINAL</v>
      </c>
      <c r="C239" s="350"/>
      <c r="D239" s="686"/>
      <c r="E239" s="374"/>
      <c r="F239" s="374"/>
      <c r="G239" s="374"/>
      <c r="H239" s="374"/>
      <c r="I239" s="352"/>
      <c r="J239" s="370"/>
      <c r="K239" s="370"/>
      <c r="L239" s="370"/>
      <c r="M239" s="386"/>
      <c r="N239" s="377"/>
    </row>
    <row r="240" spans="1:14" ht="15" customHeight="1" x14ac:dyDescent="0.2">
      <c r="A240" s="710" t="s">
        <v>4</v>
      </c>
      <c r="B240" s="360" t="str">
        <f>Idiomas!D193</f>
        <v>Finalist</v>
      </c>
      <c r="C240" s="349" t="str">
        <f>WORLDCUP!AA147</f>
        <v>W101</v>
      </c>
      <c r="D240" s="686"/>
      <c r="E240" s="370"/>
      <c r="F240" s="370"/>
      <c r="G240" s="370"/>
      <c r="H240" s="370"/>
      <c r="I240" s="352"/>
      <c r="J240" s="370"/>
      <c r="K240" s="370"/>
      <c r="L240" s="370"/>
      <c r="M240" s="386"/>
      <c r="N240" s="377"/>
    </row>
    <row r="241" spans="1:14" ht="15" customHeight="1" x14ac:dyDescent="0.2">
      <c r="A241" s="710"/>
      <c r="B241" s="360" t="str">
        <f>B240</f>
        <v>Finalist</v>
      </c>
      <c r="C241" s="349" t="str">
        <f>WORLDCUP!AF147</f>
        <v>W102</v>
      </c>
      <c r="D241" s="686"/>
      <c r="E241" s="375"/>
      <c r="F241" s="375"/>
      <c r="G241" s="375"/>
      <c r="H241" s="389"/>
      <c r="I241" s="390"/>
      <c r="J241" s="370"/>
      <c r="K241" s="370"/>
      <c r="L241" s="370"/>
      <c r="M241" s="386"/>
      <c r="N241" s="377"/>
    </row>
    <row r="242" spans="1:14" x14ac:dyDescent="0.2">
      <c r="A242" s="353"/>
      <c r="B242" s="353"/>
      <c r="C242" s="350"/>
      <c r="D242" s="370"/>
      <c r="E242" s="370"/>
      <c r="F242" s="370"/>
      <c r="G242" s="370"/>
      <c r="H242" s="370"/>
      <c r="I242" s="387"/>
      <c r="J242" s="370"/>
      <c r="K242" s="370"/>
      <c r="L242" s="370"/>
      <c r="M242" s="386"/>
      <c r="N242" s="377"/>
    </row>
    <row r="243" spans="1:14" ht="19" x14ac:dyDescent="0.25">
      <c r="A243" s="353"/>
      <c r="B243" s="358" t="str">
        <f>Idiomas!D137</f>
        <v>3rd-4th place</v>
      </c>
      <c r="C243" s="350"/>
      <c r="D243" s="370"/>
      <c r="E243" s="370"/>
      <c r="F243" s="370"/>
      <c r="G243" s="370"/>
      <c r="H243" s="370"/>
      <c r="I243" s="388"/>
      <c r="J243" s="370"/>
      <c r="K243" s="370"/>
      <c r="L243" s="370"/>
      <c r="M243" s="386"/>
      <c r="N243" s="377"/>
    </row>
    <row r="244" spans="1:14" ht="15" customHeight="1" x14ac:dyDescent="0.2">
      <c r="A244" s="362" t="s">
        <v>503</v>
      </c>
      <c r="B244" s="360" t="str">
        <f>CONCATENATE(WORLDCUP!AA143,"-",WORLDCUP!AF143)</f>
        <v>L101-L102</v>
      </c>
      <c r="C244" s="349" t="str">
        <f>CONCATENATE(WORLDCUP!AA143,"-",WORLDCUP!AF143,"·",IF(WORLDCUP!AC143&gt;WORLDCUP!AD143,1,IF(WORLDCUP!AC143&lt;WORLDCUP!AD143,2,IF(AND(WORLDCUP!AC143=WORLDCUP!AD143,WORLDCUP!AC143&lt;&gt;"",WORLDCUP!AD143&lt;&gt;""),"X",0))),"|",WORLDCUP!AC143,"-",WORLDCUP!AD143)</f>
        <v>L101-L102·0|-</v>
      </c>
      <c r="D244" s="711" t="s">
        <v>582</v>
      </c>
      <c r="E244" s="709" t="str">
        <f>Idiomas!D119</f>
        <v>·For the Final and 3-4 place matches, copy from C244 to C252 and paste in the administrator template in "Paste Values Final"</v>
      </c>
      <c r="F244" s="709"/>
      <c r="G244" s="709"/>
      <c r="H244" s="709"/>
      <c r="I244" s="381"/>
      <c r="J244" s="370"/>
      <c r="K244" s="370"/>
      <c r="L244" s="370"/>
      <c r="M244" s="386"/>
      <c r="N244" s="377"/>
    </row>
    <row r="245" spans="1:14" ht="15" customHeight="1" x14ac:dyDescent="0.2">
      <c r="A245" s="353"/>
      <c r="B245" s="353"/>
      <c r="C245" s="350"/>
      <c r="D245" s="711"/>
      <c r="E245" s="709"/>
      <c r="F245" s="709"/>
      <c r="G245" s="709"/>
      <c r="H245" s="709"/>
      <c r="I245" s="381"/>
      <c r="J245" s="370"/>
      <c r="K245" s="370"/>
      <c r="L245" s="370"/>
      <c r="M245" s="386"/>
      <c r="N245" s="377"/>
    </row>
    <row r="246" spans="1:14" ht="21" customHeight="1" x14ac:dyDescent="0.25">
      <c r="A246" s="353"/>
      <c r="B246" s="358" t="str">
        <f>Idiomas!D138</f>
        <v>FINAL</v>
      </c>
      <c r="C246" s="350"/>
      <c r="D246" s="711"/>
      <c r="E246" s="709"/>
      <c r="F246" s="709"/>
      <c r="G246" s="709"/>
      <c r="H246" s="709"/>
      <c r="I246" s="381"/>
      <c r="J246" s="370"/>
      <c r="K246" s="370"/>
      <c r="L246" s="370"/>
      <c r="M246" s="386"/>
      <c r="N246" s="377"/>
    </row>
    <row r="247" spans="1:14" ht="15" customHeight="1" x14ac:dyDescent="0.2">
      <c r="A247" s="362" t="s">
        <v>4</v>
      </c>
      <c r="B247" s="360" t="str">
        <f>CONCATENATE(WORLDCUP!AA147,"-",WORLDCUP!AF147)</f>
        <v>W101-W102</v>
      </c>
      <c r="C247" s="351" t="str">
        <f>CONCATENATE(WORLDCUP!AA147,"-",WORLDCUP!AF147,"·",IF(WORLDCUP!AC147&gt;WORLDCUP!AD147,1,IF(WORLDCUP!AC147&lt;WORLDCUP!AD147,2,IF(AND(WORLDCUP!AC147=WORLDCUP!AD147,WORLDCUP!AC147&lt;&gt;"",WORLDCUP!AD147&lt;&gt;""),"X",0))),"|",WORLDCUP!AC147,"-",WORLDCUP!AD147)</f>
        <v>W101-W102·0|-</v>
      </c>
      <c r="D247" s="711"/>
      <c r="E247" s="376"/>
      <c r="F247" s="376"/>
      <c r="G247" s="376"/>
      <c r="H247" s="376"/>
      <c r="I247" s="381"/>
      <c r="J247" s="370"/>
      <c r="K247" s="370"/>
      <c r="L247" s="370"/>
      <c r="M247" s="386"/>
      <c r="N247" s="377"/>
    </row>
    <row r="248" spans="1:14" ht="15" customHeight="1" x14ac:dyDescent="0.2">
      <c r="A248" s="353"/>
      <c r="B248" s="353"/>
      <c r="C248" s="350"/>
      <c r="D248" s="711"/>
      <c r="E248" s="374"/>
      <c r="F248" s="374"/>
      <c r="G248" s="374"/>
      <c r="H248" s="374"/>
      <c r="I248" s="381"/>
      <c r="J248" s="370"/>
      <c r="K248" s="370"/>
      <c r="L248" s="370"/>
      <c r="M248" s="386"/>
      <c r="N248" s="377"/>
    </row>
    <row r="249" spans="1:14" ht="19" customHeight="1" x14ac:dyDescent="0.25">
      <c r="A249" s="353"/>
      <c r="B249" s="358" t="str">
        <f>Idiomas!D139</f>
        <v>HONOR BOX</v>
      </c>
      <c r="C249" s="350"/>
      <c r="D249" s="711"/>
      <c r="E249" s="374"/>
      <c r="F249" s="374"/>
      <c r="G249" s="374"/>
      <c r="H249" s="374"/>
      <c r="I249" s="381"/>
      <c r="J249" s="370"/>
      <c r="K249" s="370"/>
      <c r="L249" s="370"/>
      <c r="M249" s="386"/>
      <c r="N249" s="377"/>
    </row>
    <row r="250" spans="1:14" ht="15" customHeight="1" x14ac:dyDescent="0.2">
      <c r="A250" s="363"/>
      <c r="B250" s="360" t="str">
        <f>WORLDCUP!W150</f>
        <v>🥇Winner</v>
      </c>
      <c r="C250" s="349" t="str">
        <f>WORLDCUP!AA150</f>
        <v>WF</v>
      </c>
      <c r="D250" s="711"/>
      <c r="E250" s="374"/>
      <c r="F250" s="374"/>
      <c r="G250" s="374"/>
      <c r="H250" s="374"/>
      <c r="I250" s="381"/>
      <c r="J250" s="370"/>
      <c r="K250" s="370"/>
      <c r="L250" s="370"/>
      <c r="M250" s="386"/>
      <c r="N250" s="377"/>
    </row>
    <row r="251" spans="1:14" ht="15" customHeight="1" x14ac:dyDescent="0.2">
      <c r="A251" s="364"/>
      <c r="B251" s="360" t="str">
        <f>WORLDCUP!W151</f>
        <v>🥈Runner-up</v>
      </c>
      <c r="C251" s="349" t="str">
        <f>WORLDCUP!AA151</f>
        <v>LF</v>
      </c>
      <c r="D251" s="711"/>
      <c r="E251" s="374"/>
      <c r="F251" s="374"/>
      <c r="G251" s="374"/>
      <c r="H251" s="374"/>
      <c r="I251" s="390"/>
      <c r="J251" s="383"/>
      <c r="K251" s="372"/>
      <c r="L251" s="372"/>
      <c r="M251" s="386"/>
      <c r="N251" s="377"/>
    </row>
    <row r="252" spans="1:14" ht="15" customHeight="1" x14ac:dyDescent="0.2">
      <c r="A252" s="364"/>
      <c r="B252" s="360" t="str">
        <f>WORLDCUP!W152</f>
        <v>🥉3rd place</v>
      </c>
      <c r="C252" s="349" t="str">
        <f>WORLDCUP!AA152</f>
        <v>W34</v>
      </c>
      <c r="D252" s="711"/>
      <c r="E252" s="370"/>
      <c r="F252" s="370"/>
      <c r="G252" s="370"/>
      <c r="H252" s="370"/>
      <c r="I252" s="352"/>
      <c r="J252" s="370"/>
      <c r="K252" s="370"/>
      <c r="L252" s="370"/>
      <c r="M252" s="391"/>
      <c r="N252" s="377"/>
    </row>
    <row r="253" spans="1:14" ht="15" customHeight="1" x14ac:dyDescent="0.2">
      <c r="A253" s="365"/>
      <c r="B253" s="360" t="str">
        <f>WORLDCUP!W154</f>
        <v>Golden Boot  (Top Scorer)</v>
      </c>
      <c r="C253" s="349" t="str">
        <f>WORLDCUP!AA154</f>
        <v>Write a player</v>
      </c>
      <c r="D253" s="371"/>
      <c r="E253" s="708" t="str">
        <f>Idiomas!D120</f>
        <v>·At the beginning of the competition, if it is done in phases, copy from C253 to C258 and paste it at the end of the player in the administrator file.</v>
      </c>
      <c r="F253" s="708"/>
      <c r="G253" s="708"/>
      <c r="H253" s="708"/>
      <c r="I253" s="392"/>
      <c r="J253" s="392"/>
      <c r="K253" s="392"/>
      <c r="L253" s="393"/>
      <c r="M253" s="393"/>
      <c r="N253" s="377"/>
    </row>
    <row r="254" spans="1:14" ht="15" customHeight="1" x14ac:dyDescent="0.2">
      <c r="A254" s="366"/>
      <c r="B254" s="360" t="str">
        <f>WORLDCUP!W155</f>
        <v>Silver Boot  (2nd Top Scorer)</v>
      </c>
      <c r="C254" s="349" t="str">
        <f>WORLDCUP!AA155</f>
        <v>Write a player</v>
      </c>
      <c r="D254" s="371"/>
      <c r="E254" s="708"/>
      <c r="F254" s="708"/>
      <c r="G254" s="708"/>
      <c r="H254" s="708"/>
      <c r="I254" s="392"/>
      <c r="J254" s="392"/>
      <c r="K254" s="392"/>
      <c r="L254" s="393"/>
      <c r="M254" s="393"/>
      <c r="N254" s="377"/>
    </row>
    <row r="255" spans="1:14" ht="15" customHeight="1" x14ac:dyDescent="0.2">
      <c r="A255" s="366"/>
      <c r="B255" s="360" t="str">
        <f>WORLDCUP!W156</f>
        <v>Bronze Boot (3rd Top Scorer)</v>
      </c>
      <c r="C255" s="349" t="str">
        <f>WORLDCUP!AA156</f>
        <v>Write a player</v>
      </c>
      <c r="D255" s="371"/>
      <c r="E255" s="708"/>
      <c r="F255" s="708"/>
      <c r="G255" s="708"/>
      <c r="H255" s="708"/>
      <c r="I255" s="392"/>
      <c r="J255" s="392"/>
      <c r="K255" s="392"/>
      <c r="L255" s="393"/>
      <c r="M255" s="393"/>
      <c r="N255" s="377"/>
    </row>
    <row r="256" spans="1:14" ht="15" customHeight="1" x14ac:dyDescent="0.2">
      <c r="A256" s="363"/>
      <c r="B256" s="360" t="str">
        <f>WORLDCUP!W158</f>
        <v>Golden Ball (Best Player)</v>
      </c>
      <c r="C256" s="349" t="str">
        <f>WORLDCUP!AA158</f>
        <v>Write a player</v>
      </c>
      <c r="D256" s="371"/>
      <c r="E256" s="708"/>
      <c r="F256" s="708"/>
      <c r="G256" s="708"/>
      <c r="H256" s="708"/>
      <c r="I256" s="392"/>
      <c r="J256" s="392"/>
      <c r="K256" s="392"/>
      <c r="L256" s="393"/>
      <c r="M256" s="393"/>
      <c r="N256" s="377"/>
    </row>
    <row r="257" spans="1:14" ht="15" customHeight="1" x14ac:dyDescent="0.2">
      <c r="A257" s="364"/>
      <c r="B257" s="360" t="str">
        <f>WORLDCUP!W159</f>
        <v>Silver Ball (2nd Best Player)</v>
      </c>
      <c r="C257" s="349" t="str">
        <f>WORLDCUP!AA159</f>
        <v>Write a player</v>
      </c>
      <c r="D257" s="371"/>
      <c r="E257" s="371"/>
      <c r="F257" s="392"/>
      <c r="G257" s="392"/>
      <c r="H257" s="392"/>
      <c r="I257" s="392"/>
      <c r="J257" s="392"/>
      <c r="K257" s="392"/>
      <c r="L257" s="393"/>
      <c r="M257" s="393"/>
      <c r="N257" s="377"/>
    </row>
    <row r="258" spans="1:14" ht="15" customHeight="1" x14ac:dyDescent="0.2">
      <c r="A258" s="364"/>
      <c r="B258" s="360" t="str">
        <f>WORLDCUP!W160</f>
        <v>Bronze ball (3rd Best Player)</v>
      </c>
      <c r="C258" s="349" t="str">
        <f>WORLDCUP!AA160</f>
        <v>Write a player</v>
      </c>
      <c r="D258" s="371"/>
      <c r="E258" s="371"/>
      <c r="F258" s="392"/>
      <c r="G258" s="392"/>
      <c r="H258" s="392"/>
      <c r="I258" s="392"/>
      <c r="J258" s="392"/>
      <c r="K258" s="392"/>
      <c r="L258" s="393"/>
      <c r="M258" s="393"/>
      <c r="N258" s="377"/>
    </row>
  </sheetData>
  <sheetProtection algorithmName="SHA-512" hashValue="8HnR+MXF0u9oJJuctWfTEWca8F0IRsCb8aYynETcPGlLZUHtKrNKhbzd0N/pBJRxrbUghJBQ2GCchUB+w/M2jw==" saltValue="X7rK1n/evFqJgnKE3baN5w==" spinCount="100000" sheet="1" objects="1" scenarios="1" selectLockedCells="1"/>
  <mergeCells count="45">
    <mergeCell ref="E253:H256"/>
    <mergeCell ref="E220:H223"/>
    <mergeCell ref="E244:H246"/>
    <mergeCell ref="A236:A237"/>
    <mergeCell ref="E232:H235"/>
    <mergeCell ref="D244:D252"/>
    <mergeCell ref="A240:A241"/>
    <mergeCell ref="A232:A233"/>
    <mergeCell ref="A200:A207"/>
    <mergeCell ref="A210:A217"/>
    <mergeCell ref="D200:D217"/>
    <mergeCell ref="A220:A223"/>
    <mergeCell ref="A226:A229"/>
    <mergeCell ref="D220:D229"/>
    <mergeCell ref="A130:A161"/>
    <mergeCell ref="D54:D161"/>
    <mergeCell ref="A164:A179"/>
    <mergeCell ref="A182:A197"/>
    <mergeCell ref="D164:D197"/>
    <mergeCell ref="A108:A111"/>
    <mergeCell ref="A112:A115"/>
    <mergeCell ref="A116:A119"/>
    <mergeCell ref="A120:A123"/>
    <mergeCell ref="A124:A127"/>
    <mergeCell ref="A92:A95"/>
    <mergeCell ref="A100:A103"/>
    <mergeCell ref="A96:A99"/>
    <mergeCell ref="A80:A83"/>
    <mergeCell ref="A84:A87"/>
    <mergeCell ref="A88:A91"/>
    <mergeCell ref="D6:D29"/>
    <mergeCell ref="D30:D53"/>
    <mergeCell ref="A104:A107"/>
    <mergeCell ref="E1:N2"/>
    <mergeCell ref="E6:H9"/>
    <mergeCell ref="E30:H33"/>
    <mergeCell ref="E54:H57"/>
    <mergeCell ref="E4:M4"/>
    <mergeCell ref="E3:N3"/>
    <mergeCell ref="E5:I5"/>
    <mergeCell ref="E200:H203"/>
    <mergeCell ref="D232:D241"/>
    <mergeCell ref="E162:L162"/>
    <mergeCell ref="E163:L163"/>
    <mergeCell ref="E164:H167"/>
  </mergeCells>
  <phoneticPr fontId="1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FD001-3606-A342-BDCA-871A31DB4CA2}">
  <sheetPr codeName="Hoja7">
    <pageSetUpPr fitToPage="1"/>
  </sheetPr>
  <dimension ref="A1:BQ105"/>
  <sheetViews>
    <sheetView showGridLines="0" showRowColHeaders="0" zoomScale="85" zoomScaleNormal="85" workbookViewId="0">
      <extLst>
        <ext xmlns:xlsdti="http://schemas.microsoft.com/office/spreadsheetml/2023/showDataTypeIcons" uri="{77bfe23e-c014-4d31-8a63-9c772dbf06b6}">
          <xlsdti:showDataTypeIcons visible="0"/>
        </ext>
      </extLst>
    </sheetView>
  </sheetViews>
  <sheetFormatPr baseColWidth="10" defaultColWidth="0" defaultRowHeight="15" x14ac:dyDescent="0.2"/>
  <cols>
    <col min="1" max="1" width="3.33203125" style="186" customWidth="1"/>
    <col min="2" max="2" width="2.6640625" style="9" customWidth="1"/>
    <col min="3" max="3" width="5.6640625" style="3" bestFit="1" customWidth="1"/>
    <col min="4" max="5" width="3.33203125" style="3" customWidth="1"/>
    <col min="6" max="6" width="6.1640625" style="3" customWidth="1"/>
    <col min="7" max="7" width="2.5" style="3" bestFit="1" customWidth="1"/>
    <col min="8" max="9" width="3.83203125" style="3" customWidth="1"/>
    <col min="10" max="10" width="4.5" style="3" customWidth="1"/>
    <col min="11" max="11" width="5.33203125" style="3" customWidth="1"/>
    <col min="12" max="12" width="3.33203125" style="3" hidden="1" customWidth="1"/>
    <col min="13" max="13" width="1.6640625" style="186" customWidth="1"/>
    <col min="14" max="14" width="2.6640625" style="9" customWidth="1"/>
    <col min="15" max="15" width="4.33203125" style="3" bestFit="1" customWidth="1"/>
    <col min="16" max="17" width="3.33203125" style="3" customWidth="1"/>
    <col min="18" max="18" width="5.1640625" style="3" bestFit="1" customWidth="1"/>
    <col min="19" max="19" width="2.5" style="3" bestFit="1" customWidth="1"/>
    <col min="20" max="20" width="4.33203125" style="3" bestFit="1" customWidth="1"/>
    <col min="21" max="22" width="3.6640625" style="3" customWidth="1"/>
    <col min="23" max="23" width="4.83203125" style="3" customWidth="1"/>
    <col min="24" max="24" width="4.33203125" style="186" hidden="1" customWidth="1"/>
    <col min="25" max="25" width="2.83203125" style="9" customWidth="1"/>
    <col min="26" max="26" width="7.5" style="9" bestFit="1" customWidth="1"/>
    <col min="27" max="27" width="9.83203125" style="3" customWidth="1"/>
    <col min="28" max="29" width="4.33203125" style="3" customWidth="1"/>
    <col min="30" max="30" width="2.83203125" style="9" customWidth="1"/>
    <col min="31" max="31" width="9.83203125" style="3" customWidth="1"/>
    <col min="32" max="33" width="4.33203125" style="3" customWidth="1"/>
    <col min="34" max="34" width="2.83203125" style="9" customWidth="1"/>
    <col min="35" max="35" width="9.83203125" style="3" customWidth="1"/>
    <col min="36" max="37" width="4.33203125" style="3" customWidth="1"/>
    <col min="38" max="38" width="2.83203125" style="9" customWidth="1"/>
    <col min="39" max="39" width="9.83203125" style="3" customWidth="1"/>
    <col min="40" max="41" width="4.33203125" style="3" customWidth="1"/>
    <col min="42" max="42" width="2.83203125" style="9" customWidth="1"/>
    <col min="43" max="43" width="9.83203125" style="3" customWidth="1"/>
    <col min="44" max="45" width="4.33203125" style="3" customWidth="1"/>
    <col min="46" max="46" width="2.83203125" style="9" customWidth="1"/>
    <col min="47" max="47" width="9.83203125" style="3" customWidth="1"/>
    <col min="48" max="49" width="4.33203125" style="3" customWidth="1"/>
    <col min="50" max="50" width="4" style="3" bestFit="1" customWidth="1"/>
    <col min="51" max="51" width="3.33203125" style="3" customWidth="1"/>
    <col min="52" max="54" width="7.83203125" style="3" customWidth="1"/>
    <col min="55" max="55" width="3.33203125" style="3" customWidth="1"/>
    <col min="56" max="58" width="2.5" style="3" bestFit="1" customWidth="1"/>
    <col min="59" max="59" width="20.83203125" style="3" customWidth="1"/>
    <col min="60" max="67" width="4.83203125" style="3" customWidth="1"/>
    <col min="68" max="69" width="10.83203125" style="3" customWidth="1"/>
    <col min="70" max="16384" width="10.83203125" style="3" hidden="1"/>
  </cols>
  <sheetData>
    <row r="1" spans="1:67" ht="8" customHeight="1" x14ac:dyDescent="0.2">
      <c r="A1" s="181"/>
      <c r="B1" s="151"/>
      <c r="C1" s="153"/>
      <c r="D1" s="153"/>
      <c r="E1" s="153"/>
      <c r="F1" s="153"/>
      <c r="G1" s="153"/>
      <c r="H1" s="153"/>
      <c r="I1" s="153"/>
      <c r="J1" s="153"/>
      <c r="K1" s="153"/>
      <c r="L1" s="153"/>
      <c r="M1" s="181"/>
      <c r="N1" s="151"/>
      <c r="O1" s="153"/>
      <c r="P1" s="153"/>
      <c r="Q1" s="153"/>
      <c r="R1" s="153"/>
      <c r="S1" s="153"/>
      <c r="T1" s="153"/>
      <c r="U1" s="153"/>
      <c r="V1" s="153"/>
      <c r="W1" s="153"/>
      <c r="X1" s="181"/>
      <c r="Y1" s="151"/>
      <c r="Z1" s="151"/>
      <c r="AA1" s="153"/>
      <c r="AB1" s="153"/>
      <c r="AC1" s="153"/>
      <c r="AD1" s="181"/>
      <c r="AE1" s="153"/>
      <c r="AF1" s="153"/>
      <c r="AG1" s="153"/>
      <c r="AH1" s="151"/>
      <c r="AI1" s="153"/>
      <c r="AJ1" s="153"/>
      <c r="AK1" s="153"/>
      <c r="AL1" s="181"/>
      <c r="AM1" s="153"/>
      <c r="AN1" s="153"/>
      <c r="AO1" s="153"/>
      <c r="AP1" s="151"/>
      <c r="AQ1" s="153"/>
      <c r="AR1" s="153"/>
      <c r="AS1" s="153"/>
      <c r="AT1" s="181"/>
      <c r="AU1" s="153"/>
      <c r="AV1" s="153"/>
      <c r="AW1" s="153"/>
      <c r="AX1" s="153"/>
      <c r="AY1" s="153"/>
      <c r="AZ1" s="153"/>
      <c r="BA1" s="153"/>
      <c r="BB1" s="153"/>
      <c r="BC1" s="153"/>
      <c r="BD1" s="153"/>
      <c r="BE1" s="153"/>
    </row>
    <row r="2" spans="1:67" ht="10" customHeight="1" thickBot="1" x14ac:dyDescent="0.25">
      <c r="A2" s="181"/>
      <c r="B2" s="151"/>
      <c r="C2" s="147"/>
      <c r="D2" s="147"/>
      <c r="E2" s="147"/>
      <c r="F2" s="147"/>
      <c r="G2" s="147"/>
      <c r="H2" s="147"/>
      <c r="I2" s="147"/>
      <c r="J2" s="147"/>
      <c r="K2" s="147"/>
      <c r="L2" s="147"/>
      <c r="M2" s="179"/>
      <c r="N2" s="411"/>
      <c r="O2" s="412"/>
      <c r="P2" s="147"/>
      <c r="Q2" s="153"/>
      <c r="R2" s="153"/>
      <c r="S2" s="413"/>
      <c r="T2" s="153"/>
      <c r="U2" s="147"/>
      <c r="V2" s="147"/>
      <c r="W2" s="147"/>
      <c r="X2" s="179"/>
      <c r="Y2" s="411"/>
      <c r="Z2" s="411"/>
      <c r="AA2" s="153"/>
      <c r="AB2" s="153"/>
      <c r="AC2" s="153"/>
      <c r="AD2" s="179"/>
      <c r="AE2" s="153"/>
      <c r="AF2" s="153"/>
      <c r="AG2" s="153"/>
      <c r="AH2" s="151"/>
      <c r="AI2" s="414"/>
      <c r="AJ2" s="414"/>
      <c r="AK2" s="414"/>
      <c r="AL2" s="415"/>
      <c r="AM2" s="414"/>
      <c r="AN2" s="414"/>
      <c r="AO2" s="414"/>
      <c r="AP2" s="181"/>
      <c r="AQ2" s="414"/>
      <c r="AR2" s="414"/>
      <c r="AS2" s="414"/>
      <c r="AT2" s="181"/>
      <c r="AU2" s="414"/>
      <c r="AV2" s="414"/>
      <c r="AW2" s="414"/>
      <c r="AX2" s="153"/>
      <c r="AY2" s="153"/>
      <c r="AZ2" s="153"/>
      <c r="BA2" s="153"/>
      <c r="BB2" s="153"/>
      <c r="BC2" s="153"/>
      <c r="BD2" s="153"/>
      <c r="BE2" s="153"/>
    </row>
    <row r="3" spans="1:67" ht="16" thickBot="1" x14ac:dyDescent="0.25">
      <c r="A3" s="181">
        <v>1</v>
      </c>
      <c r="B3" s="416" t="s">
        <v>0</v>
      </c>
      <c r="C3" s="417" t="str">
        <f ca="1">+MID(INDEX(WORLDCUP!$AA$4:$AA$147,MATCH(A3,WORLDCUP!$AH$4:$AH$147,0)),1,3)</f>
        <v>Mex</v>
      </c>
      <c r="D3" s="418" t="str">
        <f>IF(ISBLANK(INDEX(WORLDCUP!$AC$4:$AC$147,MATCH(A3,WORLDCUP!$AH$4:$AH$147,0))),"",INDEX(WORLDCUP!$AC$4:$AC$147,MATCH(A3,WORLDCUP!$AH$4:$AH$147,0)))</f>
        <v/>
      </c>
      <c r="E3" s="418" t="str">
        <f>IF(ISBLANK(INDEX(WORLDCUP!$AD$4:$AD$147,MATCH(A3,WORLDCUP!$AH$4:$AH$147,0))),"",INDEX(WORLDCUP!$AD$4:$AD$147,MATCH(A3,WORLDCUP!$AH$4:$AH$147,0)))</f>
        <v/>
      </c>
      <c r="F3" s="419" t="str">
        <f ca="1">+MID(INDEX(WORLDCUP!$AF$4:$AF$147,MATCH(A3,WORLDCUP!$AH$4:$AH$147,0)),1,3)</f>
        <v>Sou</v>
      </c>
      <c r="G3" s="420"/>
      <c r="H3" s="421" t="str">
        <f>MID(WORLDCUP!AL5,1,3)</f>
        <v>Nat</v>
      </c>
      <c r="I3" s="422" t="s">
        <v>34</v>
      </c>
      <c r="J3" s="422" t="str">
        <f>WORLDCUP!AT5</f>
        <v>GD</v>
      </c>
      <c r="K3" s="423" t="str">
        <f>WORLDCUP!AR5&amp;"-"&amp;WORLDCUP!AS5</f>
        <v>F-A</v>
      </c>
      <c r="L3" s="181"/>
      <c r="M3" s="181">
        <v>16</v>
      </c>
      <c r="N3" s="424" t="s">
        <v>6</v>
      </c>
      <c r="O3" s="417" t="str">
        <f ca="1">+MID(INDEX(WORLDCUP!$AA$4:$AA$147,MATCH(M3,WORLDCUP!$AH$4:$AH$147,0)),1,3)</f>
        <v>Bel</v>
      </c>
      <c r="P3" s="418" t="str">
        <f>IF(ISBLANK(INDEX(WORLDCUP!$AC$4:$AC$147,MATCH(M3,WORLDCUP!$AH$4:$AH$147,0))),"",INDEX(WORLDCUP!$AC$4:$AC$147,MATCH(M3,WORLDCUP!$AH$4:$AH$147,0)))</f>
        <v/>
      </c>
      <c r="Q3" s="418" t="str">
        <f>IF(ISBLANK(INDEX(WORLDCUP!$AD$4:$AD$147,MATCH(M3,WORLDCUP!$AH$4:$AH$147,0))),"",INDEX(WORLDCUP!$AD$4:$AD$147,MATCH(M3,WORLDCUP!$AH$4:$AH$147,0)))</f>
        <v/>
      </c>
      <c r="R3" s="419" t="str">
        <f ca="1">+MID(INDEX(WORLDCUP!$AF$4:$AF$147,MATCH(M3,WORLDCUP!$AH$4:$AH$147,0)),1,3)</f>
        <v>Egy</v>
      </c>
      <c r="S3" s="420"/>
      <c r="T3" s="421" t="str">
        <f>+H43</f>
        <v>Nat</v>
      </c>
      <c r="U3" s="422" t="str">
        <f>+I43</f>
        <v>Pts</v>
      </c>
      <c r="V3" s="422" t="str">
        <f>+J43</f>
        <v>GD</v>
      </c>
      <c r="W3" s="423" t="str">
        <f>+K43</f>
        <v>F-A</v>
      </c>
      <c r="X3" s="181"/>
      <c r="Y3" s="181">
        <v>74</v>
      </c>
      <c r="Z3" s="425" t="s">
        <v>672</v>
      </c>
      <c r="AA3" s="426" t="str">
        <f ca="1">+MID(INDEX(WORLDCUP!$AA$101:$AA$147,MATCH(Y3,WORLDCUP!$Z$101:$Z$147,0)),1,3)</f>
        <v>1E</v>
      </c>
      <c r="AB3" s="427" t="str">
        <f>+IF(ISBLANK(INDEX(WORLDCUP!$AC$101:$AC$147,MATCH(Y3,WORLDCUP!$Z$101:$Z$147,0))),"",INDEX(WORLDCUP!$AC$101:$AC$147,MATCH(Y3,WORLDCUP!$Z$101:$Z$147,0)))</f>
        <v/>
      </c>
      <c r="AC3" s="428" t="str">
        <f>+IF(ISBLANK(INDEX(WORLDCUP!$AB$101:$AB$147,MATCH(Y3,WORLDCUP!$Z$101:$Z$147,0))),"","( "&amp;INDEX(WORLDCUP!$AB$101:$AB$147,MATCH(Y3,WORLDCUP!$Z$101:$Z$147,0))&amp;" )")</f>
        <v/>
      </c>
      <c r="AD3" s="179"/>
      <c r="AE3" s="429"/>
      <c r="AF3" s="429"/>
      <c r="AG3" s="429"/>
      <c r="AH3" s="181"/>
      <c r="AI3" s="430"/>
      <c r="AJ3" s="430"/>
      <c r="AK3" s="430"/>
      <c r="AL3" s="415"/>
      <c r="AM3" s="431"/>
      <c r="AN3" s="431"/>
      <c r="AO3" s="431"/>
      <c r="AP3" s="181"/>
      <c r="AQ3" s="432"/>
      <c r="AR3" s="432"/>
      <c r="AS3" s="432"/>
      <c r="AT3" s="181"/>
      <c r="AU3" s="433"/>
      <c r="AV3" s="433"/>
      <c r="AW3" s="433"/>
      <c r="AX3" s="181"/>
      <c r="AY3" s="153"/>
      <c r="AZ3" s="153"/>
      <c r="BA3" s="153"/>
      <c r="BB3" s="153"/>
      <c r="BC3" s="153"/>
      <c r="BD3" s="153"/>
      <c r="BE3" s="153"/>
      <c r="BG3" s="434"/>
      <c r="BH3" s="435" t="s">
        <v>6</v>
      </c>
      <c r="BI3" s="436" t="s">
        <v>493</v>
      </c>
      <c r="BJ3" s="437" t="s">
        <v>89</v>
      </c>
      <c r="BK3" s="438" t="s">
        <v>36</v>
      </c>
      <c r="BL3" s="439" t="s">
        <v>37</v>
      </c>
      <c r="BM3" s="440" t="s">
        <v>1353</v>
      </c>
      <c r="BN3" s="441" t="s">
        <v>1354</v>
      </c>
      <c r="BO3" s="442" t="s">
        <v>1355</v>
      </c>
    </row>
    <row r="4" spans="1:67" ht="16" thickBot="1" x14ac:dyDescent="0.25">
      <c r="A4" s="181">
        <v>2</v>
      </c>
      <c r="B4" s="443"/>
      <c r="C4" s="444" t="str">
        <f ca="1">+MID(INDEX(WORLDCUP!$AA$4:$AA$147,MATCH(A4,WORLDCUP!$AH$4:$AH$147,0)),1,3)</f>
        <v>Sou</v>
      </c>
      <c r="D4" s="445" t="str">
        <f>IF(ISBLANK(INDEX(WORLDCUP!$AC$4:$AC$147,MATCH(A4,WORLDCUP!$AH$4:$AH$147,0))),"",INDEX(WORLDCUP!$AC$4:$AC$147,MATCH(A4,WORLDCUP!$AH$4:$AH$147,0)))</f>
        <v/>
      </c>
      <c r="E4" s="445" t="str">
        <f>IF(ISBLANK(INDEX(WORLDCUP!$AD$4:$AD$147,MATCH(A4,WORLDCUP!$AH$4:$AH$147,0))),"",INDEX(WORLDCUP!$AD$4:$AD$147,MATCH(A4,WORLDCUP!$AH$4:$AH$147,0)))</f>
        <v/>
      </c>
      <c r="F4" s="446" t="str">
        <f ca="1">+MID(INDEX(WORLDCUP!$AF$4:$AF$147,MATCH(A4,WORLDCUP!$AH$4:$AH$147,0)),1,3)</f>
        <v>Cze</v>
      </c>
      <c r="G4" s="447">
        <v>1</v>
      </c>
      <c r="H4" s="448" t="str">
        <f ca="1">+MID(INDEX(WORLDCUP!$AL$6:$AL$97,MATCH(L4,WORLDCUP!$AI$6:$AI$97,0)),1,3)</f>
        <v>Mex</v>
      </c>
      <c r="I4" s="449">
        <f ca="1">+INDEX(WORLDCUP!$AM$6:$AM$97,MATCH(L4,WORLDCUP!$AI$6:$AI$97,0))</f>
        <v>0</v>
      </c>
      <c r="J4" s="450">
        <f ca="1">+INDEX(WORLDCUP!$AT$6:$AT$97,MATCH(L4,WORLDCUP!$AI$6:$AI$97,0))</f>
        <v>0</v>
      </c>
      <c r="K4" s="451" t="str">
        <f ca="1">+INDEX(WORLDCUP!$AR$6:$AR$97,MATCH(L4,WORLDCUP!$AI$6:$AI$97,0))&amp;"-"&amp;INDEX(WORLDCUP!$AS$6:$AS$97,MATCH(L4,WORLDCUP!$AI$6:$AI$97,0))</f>
        <v>0-0</v>
      </c>
      <c r="L4" s="181" t="s">
        <v>656</v>
      </c>
      <c r="M4" s="181">
        <v>15</v>
      </c>
      <c r="N4" s="452"/>
      <c r="O4" s="444" t="str">
        <f ca="1">+MID(INDEX(WORLDCUP!$AA$4:$AA$147,MATCH(M4,WORLDCUP!$AH$4:$AH$147,0)),1,3)</f>
        <v>Ira</v>
      </c>
      <c r="P4" s="445" t="str">
        <f>IF(ISBLANK(INDEX(WORLDCUP!$AC$4:$AC$147,MATCH(M4,WORLDCUP!$AH$4:$AH$147,0))),"",INDEX(WORLDCUP!$AC$4:$AC$147,MATCH(M4,WORLDCUP!$AH$4:$AH$147,0)))</f>
        <v/>
      </c>
      <c r="Q4" s="445" t="str">
        <f>IF(ISBLANK(INDEX(WORLDCUP!$AD$4:$AD$147,MATCH(M4,WORLDCUP!$AH$4:$AH$147,0))),"",INDEX(WORLDCUP!$AD$4:$AD$147,MATCH(M4,WORLDCUP!$AH$4:$AH$147,0)))</f>
        <v/>
      </c>
      <c r="R4" s="446" t="str">
        <f ca="1">+MID(INDEX(WORLDCUP!$AF$4:$AF$147,MATCH(M4,WORLDCUP!$AH$4:$AH$147,0)),1,3)</f>
        <v>New</v>
      </c>
      <c r="S4" s="447">
        <v>1</v>
      </c>
      <c r="T4" s="448" t="str">
        <f ca="1">+MID(INDEX(WORLDCUP!$AL$6:$AL$97,MATCH(X4,WORLDCUP!$AI$6:$AI$97,0)),1,3)</f>
        <v>Bel</v>
      </c>
      <c r="U4" s="449">
        <f ca="1">+INDEX(WORLDCUP!$AM$6:$AM$97,MATCH(X4,WORLDCUP!$AI$6:$AI$97,0))</f>
        <v>0</v>
      </c>
      <c r="V4" s="450">
        <f ca="1">+INDEX(WORLDCUP!$AT$6:$AT$97,MATCH(X4,WORLDCUP!$AI$6:$AI$97,0))</f>
        <v>0</v>
      </c>
      <c r="W4" s="451" t="str">
        <f ca="1">+INDEX(WORLDCUP!$AR$6:$AR$97,MATCH(X4,WORLDCUP!$AI$6:$AI$97,0))&amp;"-"&amp;INDEX(WORLDCUP!$AS$6:$AS$97,MATCH(X4,WORLDCUP!$AI$6:$AI$97,0))</f>
        <v>0-0</v>
      </c>
      <c r="X4" s="181" t="s">
        <v>678</v>
      </c>
      <c r="Y4" s="181">
        <v>74</v>
      </c>
      <c r="Z4" s="425" t="s">
        <v>733</v>
      </c>
      <c r="AA4" s="426" t="str">
        <f ca="1">+MID(INDEX(WORLDCUP!$AF$101:$AF$147,MATCH(Y4,WORLDCUP!$Z$101:$Z$147,0)),1,IF(WORLDCUP!$H$113&lt;144,6,3))</f>
        <v>3ABCDF</v>
      </c>
      <c r="AB4" s="453" t="str">
        <f>+IF(ISBLANK(INDEX(WORLDCUP!$AD$101:$AD$147,MATCH(Y4,WORLDCUP!$Z$101:$Z$147,0))),"",INDEX(WORLDCUP!$AD$101:$AD$147,MATCH(Y4,WORLDCUP!$Z$101:$Z$147,0)))</f>
        <v/>
      </c>
      <c r="AC4" s="454" t="str">
        <f>+IF(ISBLANK(INDEX(WORLDCUP!$AE$101:$AE$147,MATCH(Y4,WORLDCUP!$Z$101:$Z$147,0))),"","( "&amp;INDEX(WORLDCUP!$AE$101:$AE$147,MATCH(Y4,WORLDCUP!$Z$101:$Z$147,0))&amp;" )")</f>
        <v/>
      </c>
      <c r="AD4" s="455">
        <v>89</v>
      </c>
      <c r="AE4" s="456" t="str">
        <f>+MID(INDEX(WORLDCUP!$AA$101:$AA$147,MATCH(AD4,WORLDCUP!$Z$101:$Z$147,0)),1,3)</f>
        <v>W74</v>
      </c>
      <c r="AF4" s="457" t="str">
        <f>+IF(ISBLANK(INDEX(WORLDCUP!$AC$101:$AC$147,MATCH(AD4,WORLDCUP!$Z$101:$Z$147,0))),"",INDEX(WORLDCUP!$AC$101:$AC$147,MATCH(AD4,WORLDCUP!$Z$101:$Z$147,0)))</f>
        <v/>
      </c>
      <c r="AG4" s="458" t="str">
        <f>+IF(ISBLANK(INDEX(WORLDCUP!$AB$101:$AB$147,MATCH(AD4,WORLDCUP!$Z$101:$Z$147,0))),"","( "&amp;INDEX(WORLDCUP!$AB$101:$AB$147,MATCH(AD4,WORLDCUP!$Z$101:$Z$147,0))&amp;" )")</f>
        <v/>
      </c>
      <c r="AH4" s="181"/>
      <c r="AI4" s="459"/>
      <c r="AJ4" s="459"/>
      <c r="AK4" s="459"/>
      <c r="AL4" s="415"/>
      <c r="AM4" s="431"/>
      <c r="AN4" s="431"/>
      <c r="AO4" s="431"/>
      <c r="AP4" s="181"/>
      <c r="AQ4" s="460"/>
      <c r="AR4" s="460"/>
      <c r="AS4" s="460"/>
      <c r="AT4" s="181"/>
      <c r="AU4" s="433"/>
      <c r="AV4" s="433"/>
      <c r="AW4" s="433"/>
      <c r="AX4" s="181"/>
      <c r="AY4" s="461"/>
      <c r="AZ4" s="153"/>
      <c r="BA4" s="153"/>
      <c r="BB4" s="153"/>
      <c r="BC4" s="153"/>
      <c r="BD4" s="153"/>
      <c r="BE4" s="153"/>
      <c r="BG4" s="462" t="str">
        <f ca="1">Horarios!Q3</f>
        <v>Algeria</v>
      </c>
      <c r="BH4" s="463">
        <f ca="1">1-SUM(BI4:BO4)</f>
        <v>1</v>
      </c>
      <c r="BI4" s="463">
        <f ca="1">COUNTIF(Pool!$C$130:$C$161,Fixture!BG4)-BJ4-BK4-BL4-BM4-BN4-BO4</f>
        <v>0</v>
      </c>
      <c r="BJ4" s="464">
        <f ca="1">COUNTIF(Pool!$C$182:$C$197,Fixture!BG4)-BK4-BL4-BM4-BN4-BO4</f>
        <v>0</v>
      </c>
      <c r="BK4" s="465">
        <f ca="1">COUNTIF(Pool!$C$210:$C$217,Fixture!BG4)-BL4-BM4-BN4-BO4</f>
        <v>0</v>
      </c>
      <c r="BL4" s="465">
        <f ca="1">COUNTIF(Pool!$C$226:$C$229,Fixture!BG4)-BM4-BN4-BO4</f>
        <v>0</v>
      </c>
      <c r="BM4" s="463">
        <f ca="1">COUNTIF(Pool!$C$252,Fixture!BG4)</f>
        <v>0</v>
      </c>
      <c r="BN4" s="463">
        <f ca="1">COUNTIF(Pool!$C$251,Fixture!BG4)</f>
        <v>0</v>
      </c>
      <c r="BO4" s="466">
        <f ca="1">COUNTIF(Pool!$C$250,Fixture!BG4)</f>
        <v>0</v>
      </c>
    </row>
    <row r="5" spans="1:67" x14ac:dyDescent="0.2">
      <c r="A5" s="181">
        <v>25</v>
      </c>
      <c r="B5" s="443"/>
      <c r="C5" s="444" t="str">
        <f ca="1">+MID(INDEX(WORLDCUP!$AA$4:$AA$147,MATCH(A5,WORLDCUP!$AH$4:$AH$147,0)),1,3)</f>
        <v>Cze</v>
      </c>
      <c r="D5" s="445" t="str">
        <f>IF(ISBLANK(INDEX(WORLDCUP!$AC$4:$AC$147,MATCH(A5,WORLDCUP!$AH$4:$AH$147,0))),"",INDEX(WORLDCUP!$AC$4:$AC$147,MATCH(A5,WORLDCUP!$AH$4:$AH$147,0)))</f>
        <v/>
      </c>
      <c r="E5" s="445" t="str">
        <f>IF(ISBLANK(INDEX(WORLDCUP!$AD$4:$AD$147,MATCH(A5,WORLDCUP!$AH$4:$AH$147,0))),"",INDEX(WORLDCUP!$AD$4:$AD$147,MATCH(A5,WORLDCUP!$AH$4:$AH$147,0)))</f>
        <v/>
      </c>
      <c r="F5" s="446" t="str">
        <f ca="1">+MID(INDEX(WORLDCUP!$AF$4:$AF$147,MATCH(A5,WORLDCUP!$AH$4:$AH$147,0)),1,3)</f>
        <v>Sou</v>
      </c>
      <c r="G5" s="467">
        <v>2</v>
      </c>
      <c r="H5" s="468" t="str">
        <f ca="1">+MID(INDEX(WORLDCUP!$AL$6:$AL$97,MATCH(L5,WORLDCUP!$AI$6:$AI$97,0)),1,3)</f>
        <v>Sou</v>
      </c>
      <c r="I5" s="38">
        <f ca="1">+INDEX(WORLDCUP!$AM$6:$AM$97,MATCH(L5,WORLDCUP!$AI$6:$AI$97,0))</f>
        <v>0</v>
      </c>
      <c r="J5" s="39">
        <f ca="1">+INDEX(WORLDCUP!$AT$6:$AT$97,MATCH(L5,WORLDCUP!$AI$6:$AI$97,0))</f>
        <v>0</v>
      </c>
      <c r="K5" s="43" t="str">
        <f ca="1">+INDEX(WORLDCUP!$AR$6:$AR$97,MATCH(L5,WORLDCUP!$AI$6:$AI$97,0))&amp;"-"&amp;INDEX(WORLDCUP!$AS$6:$AS$97,MATCH(L5,WORLDCUP!$AI$6:$AI$97,0))</f>
        <v>0-0</v>
      </c>
      <c r="L5" s="181" t="s">
        <v>657</v>
      </c>
      <c r="M5" s="181">
        <v>39</v>
      </c>
      <c r="N5" s="452"/>
      <c r="O5" s="444" t="str">
        <f ca="1">+MID(INDEX(WORLDCUP!$AA$4:$AA$147,MATCH(M5,WORLDCUP!$AH$4:$AH$147,0)),1,3)</f>
        <v>Bel</v>
      </c>
      <c r="P5" s="445" t="str">
        <f>IF(ISBLANK(INDEX(WORLDCUP!$AC$4:$AC$147,MATCH(M5,WORLDCUP!$AH$4:$AH$147,0))),"",INDEX(WORLDCUP!$AC$4:$AC$147,MATCH(M5,WORLDCUP!$AH$4:$AH$147,0)))</f>
        <v/>
      </c>
      <c r="Q5" s="445" t="str">
        <f>IF(ISBLANK(INDEX(WORLDCUP!$AD$4:$AD$147,MATCH(M5,WORLDCUP!$AH$4:$AH$147,0))),"",INDEX(WORLDCUP!$AD$4:$AD$147,MATCH(M5,WORLDCUP!$AH$4:$AH$147,0)))</f>
        <v/>
      </c>
      <c r="R5" s="446" t="str">
        <f ca="1">+MID(INDEX(WORLDCUP!$AF$4:$AF$147,MATCH(M5,WORLDCUP!$AH$4:$AH$147,0)),1,3)</f>
        <v>Ira</v>
      </c>
      <c r="S5" s="467">
        <v>2</v>
      </c>
      <c r="T5" s="468" t="str">
        <f ca="1">+MID(INDEX(WORLDCUP!$AL$6:$AL$97,MATCH(X5,WORLDCUP!$AI$6:$AI$97,0)),1,3)</f>
        <v>Egy</v>
      </c>
      <c r="U5" s="38">
        <f ca="1">+INDEX(WORLDCUP!$AM$6:$AM$97,MATCH(X5,WORLDCUP!$AI$6:$AI$97,0))</f>
        <v>0</v>
      </c>
      <c r="V5" s="39">
        <f ca="1">+INDEX(WORLDCUP!$AT$6:$AT$97,MATCH(X5,WORLDCUP!$AI$6:$AI$97,0))</f>
        <v>0</v>
      </c>
      <c r="W5" s="43" t="str">
        <f ca="1">+INDEX(WORLDCUP!$AR$6:$AR$97,MATCH(X5,WORLDCUP!$AI$6:$AI$97,0))&amp;"-"&amp;INDEX(WORLDCUP!$AS$6:$AS$97,MATCH(X5,WORLDCUP!$AI$6:$AI$97,0))</f>
        <v>0-0</v>
      </c>
      <c r="X5" s="181" t="s">
        <v>679</v>
      </c>
      <c r="Y5" s="181"/>
      <c r="Z5" s="425"/>
      <c r="AA5" s="469"/>
      <c r="AB5" s="469"/>
      <c r="AC5" s="470"/>
      <c r="AD5" s="181">
        <v>89</v>
      </c>
      <c r="AE5" s="456" t="str">
        <f>+MID(INDEX(WORLDCUP!$AF$101:$AF$147,MATCH(AD5,WORLDCUP!$Z$101:$Z$147,0)),1,3)</f>
        <v>W77</v>
      </c>
      <c r="AF5" s="457" t="str">
        <f>+IF(ISBLANK(INDEX(WORLDCUP!$AD$101:$AD$147,MATCH(AD5,WORLDCUP!$Z$101:$Z$147,0))),"",INDEX(WORLDCUP!$AD$101:$AD$147,MATCH(AD5,WORLDCUP!$Z$101:$Z$147,0)))</f>
        <v/>
      </c>
      <c r="AG5" s="471" t="str">
        <f>+IF(ISBLANK(INDEX(WORLDCUP!$AE$101:$AE$147,MATCH(AD5,WORLDCUP!$Z$101:$Z$147,0))),"","( "&amp;INDEX(WORLDCUP!$AE$101:$AE$147,MATCH(AD5,WORLDCUP!$Z$101:$Z$147,0))&amp;" )")</f>
        <v/>
      </c>
      <c r="AH5" s="181"/>
      <c r="AI5" s="459"/>
      <c r="AJ5" s="459"/>
      <c r="AK5" s="459"/>
      <c r="AL5" s="415"/>
      <c r="AM5" s="431"/>
      <c r="AN5" s="431"/>
      <c r="AO5" s="431"/>
      <c r="AP5" s="181"/>
      <c r="AQ5" s="460"/>
      <c r="AR5" s="460"/>
      <c r="AS5" s="460"/>
      <c r="AT5" s="181"/>
      <c r="AU5" s="433"/>
      <c r="AV5" s="433"/>
      <c r="AW5" s="433"/>
      <c r="AX5" s="181"/>
      <c r="AY5" s="153"/>
      <c r="AZ5" s="153"/>
      <c r="BA5" s="153"/>
      <c r="BB5" s="153"/>
      <c r="BC5" s="153"/>
      <c r="BD5" s="153"/>
      <c r="BE5" s="153"/>
      <c r="BG5" s="462" t="str">
        <f ca="1">Horarios!Q4</f>
        <v>Argentina</v>
      </c>
      <c r="BH5" s="463">
        <f t="shared" ref="BH5:BH51" ca="1" si="0">1-SUM(BI5:BO5)</f>
        <v>1</v>
      </c>
      <c r="BI5" s="463">
        <f ca="1">COUNTIF(Pool!$C$130:$C$161,Fixture!BG5)-BJ5-BK5-BL5-BM5-BN5-BO5</f>
        <v>0</v>
      </c>
      <c r="BJ5" s="464">
        <f ca="1">COUNTIF(Pool!$C$182:$C$197,Fixture!BG5)-BK5-BL5-BM5-BN5-BO5</f>
        <v>0</v>
      </c>
      <c r="BK5" s="465">
        <f ca="1">COUNTIF(Pool!$C$210:$C$217,Fixture!BG5)-BL5-BM5-BN5-BO5</f>
        <v>0</v>
      </c>
      <c r="BL5" s="465">
        <f ca="1">COUNTIF(Pool!$C$226:$C$229,Fixture!BG5)-BM5-BN5-BO5</f>
        <v>0</v>
      </c>
      <c r="BM5" s="463">
        <f ca="1">COUNTIF(Pool!$C$252,Fixture!BG5)</f>
        <v>0</v>
      </c>
      <c r="BN5" s="463">
        <f ca="1">COUNTIF(Pool!$C$251,Fixture!BG5)</f>
        <v>0</v>
      </c>
      <c r="BO5" s="466">
        <f ca="1">COUNTIF(Pool!$C$250,Fixture!BG5)</f>
        <v>0</v>
      </c>
    </row>
    <row r="6" spans="1:67" ht="16" thickBot="1" x14ac:dyDescent="0.25">
      <c r="A6" s="181">
        <v>28</v>
      </c>
      <c r="B6" s="443"/>
      <c r="C6" s="444" t="str">
        <f ca="1">+MID(INDEX(WORLDCUP!$AA$4:$AA$147,MATCH(A6,WORLDCUP!$AH$4:$AH$147,0)),1,3)</f>
        <v>Mex</v>
      </c>
      <c r="D6" s="445" t="str">
        <f>IF(ISBLANK(INDEX(WORLDCUP!$AC$4:$AC$147,MATCH(A6,WORLDCUP!$AH$4:$AH$147,0))),"",INDEX(WORLDCUP!$AC$4:$AC$147,MATCH(A6,WORLDCUP!$AH$4:$AH$147,0)))</f>
        <v/>
      </c>
      <c r="E6" s="445" t="str">
        <f>IF(ISBLANK(INDEX(WORLDCUP!$AD$4:$AD$147,MATCH(A6,WORLDCUP!$AH$4:$AH$147,0))),"",INDEX(WORLDCUP!$AD$4:$AD$147,MATCH(A6,WORLDCUP!$AH$4:$AH$147,0)))</f>
        <v/>
      </c>
      <c r="F6" s="446" t="str">
        <f ca="1">+MID(INDEX(WORLDCUP!$AF$4:$AF$147,MATCH(A6,WORLDCUP!$AH$4:$AH$147,0)),1,3)</f>
        <v>Sou</v>
      </c>
      <c r="G6" s="467">
        <v>3</v>
      </c>
      <c r="H6" s="468" t="str">
        <f ca="1">+MID(INDEX(WORLDCUP!$AL$6:$AL$97,MATCH(L6,WORLDCUP!$AI$6:$AI$97,0)),1,3)</f>
        <v>Sou</v>
      </c>
      <c r="I6" s="38">
        <f ca="1">+INDEX(WORLDCUP!$AM$6:$AM$97,MATCH(L6,WORLDCUP!$AI$6:$AI$97,0))</f>
        <v>0</v>
      </c>
      <c r="J6" s="39">
        <f ca="1">+INDEX(WORLDCUP!$AT$6:$AT$97,MATCH(L6,WORLDCUP!$AI$6:$AI$97,0))</f>
        <v>0</v>
      </c>
      <c r="K6" s="43" t="str">
        <f ca="1">+INDEX(WORLDCUP!$AR$6:$AR$97,MATCH(L6,WORLDCUP!$AI$6:$AI$97,0))&amp;"-"&amp;INDEX(WORLDCUP!$AS$6:$AS$97,MATCH(L6,WORLDCUP!$AI$6:$AI$97,0))</f>
        <v>0-0</v>
      </c>
      <c r="L6" s="181" t="s">
        <v>90</v>
      </c>
      <c r="M6" s="181">
        <v>40</v>
      </c>
      <c r="N6" s="452"/>
      <c r="O6" s="444" t="str">
        <f ca="1">+MID(INDEX(WORLDCUP!$AA$4:$AA$147,MATCH(M6,WORLDCUP!$AH$4:$AH$147,0)),1,3)</f>
        <v>New</v>
      </c>
      <c r="P6" s="445" t="str">
        <f>IF(ISBLANK(INDEX(WORLDCUP!$AC$4:$AC$147,MATCH(M6,WORLDCUP!$AH$4:$AH$147,0))),"",INDEX(WORLDCUP!$AC$4:$AC$147,MATCH(M6,WORLDCUP!$AH$4:$AH$147,0)))</f>
        <v/>
      </c>
      <c r="Q6" s="445" t="str">
        <f>IF(ISBLANK(INDEX(WORLDCUP!$AD$4:$AD$147,MATCH(M6,WORLDCUP!$AH$4:$AH$147,0))),"",INDEX(WORLDCUP!$AD$4:$AD$147,MATCH(M6,WORLDCUP!$AH$4:$AH$147,0)))</f>
        <v/>
      </c>
      <c r="R6" s="446" t="str">
        <f ca="1">+MID(INDEX(WORLDCUP!$AF$4:$AF$147,MATCH(M6,WORLDCUP!$AH$4:$AH$147,0)),1,3)</f>
        <v>Egy</v>
      </c>
      <c r="S6" s="467">
        <v>3</v>
      </c>
      <c r="T6" s="468" t="str">
        <f ca="1">+MID(INDEX(WORLDCUP!$AL$6:$AL$97,MATCH(X6,WORLDCUP!$AI$6:$AI$97,0)),1,3)</f>
        <v>Ira</v>
      </c>
      <c r="U6" s="38">
        <f ca="1">+INDEX(WORLDCUP!$AM$6:$AM$97,MATCH(X6,WORLDCUP!$AI$6:$AI$97,0))</f>
        <v>0</v>
      </c>
      <c r="V6" s="39">
        <f ca="1">+INDEX(WORLDCUP!$AT$6:$AT$97,MATCH(X6,WORLDCUP!$AI$6:$AI$97,0))</f>
        <v>0</v>
      </c>
      <c r="W6" s="43" t="str">
        <f ca="1">+INDEX(WORLDCUP!$AR$6:$AR$97,MATCH(X6,WORLDCUP!$AI$6:$AI$97,0))&amp;"-"&amp;INDEX(WORLDCUP!$AS$6:$AS$97,MATCH(X6,WORLDCUP!$AI$6:$AI$97,0))</f>
        <v>0-0</v>
      </c>
      <c r="X6" s="181" t="s">
        <v>445</v>
      </c>
      <c r="Y6" s="181">
        <v>77</v>
      </c>
      <c r="Z6" s="425" t="s">
        <v>684</v>
      </c>
      <c r="AA6" s="426" t="str">
        <f ca="1">+MID(INDEX(WORLDCUP!$AA$101:$AA$147,MATCH(Y6,WORLDCUP!$Z$101:$Z$147,0)),1,3)</f>
        <v>1I</v>
      </c>
      <c r="AB6" s="472" t="str">
        <f>+IF(ISBLANK(INDEX(WORLDCUP!$AC$101:$AC$147,MATCH(Y6,WORLDCUP!$Z$101:$Z$147,0))),"",INDEX(WORLDCUP!$AC$101:$AC$147,MATCH(Y6,WORLDCUP!$Z$101:$Z$147,0)))</f>
        <v/>
      </c>
      <c r="AC6" s="473" t="str">
        <f>+IF(ISBLANK(INDEX(WORLDCUP!$AB$101:$AB$147,MATCH(Y6,WORLDCUP!$Z$101:$Z$147,0))),"","( "&amp;INDEX(WORLDCUP!$AB$101:$AB$147,MATCH(Y6,WORLDCUP!$Z$101:$Z$147,0))&amp;" )")</f>
        <v/>
      </c>
      <c r="AD6" s="181"/>
      <c r="AE6" s="474"/>
      <c r="AF6" s="474"/>
      <c r="AG6" s="475"/>
      <c r="AH6" s="181"/>
      <c r="AI6" s="459"/>
      <c r="AJ6" s="459"/>
      <c r="AK6" s="459"/>
      <c r="AL6" s="415"/>
      <c r="AM6" s="431"/>
      <c r="AN6" s="431"/>
      <c r="AO6" s="431"/>
      <c r="AP6" s="181"/>
      <c r="AQ6" s="460"/>
      <c r="AR6" s="460"/>
      <c r="AS6" s="460"/>
      <c r="AT6" s="181"/>
      <c r="AU6" s="433"/>
      <c r="AV6" s="433"/>
      <c r="AW6" s="433"/>
      <c r="AX6" s="181"/>
      <c r="AY6" s="153"/>
      <c r="AZ6" s="153"/>
      <c r="BA6" s="153"/>
      <c r="BB6" s="153"/>
      <c r="BC6" s="153"/>
      <c r="BD6" s="153"/>
      <c r="BE6" s="153"/>
      <c r="BG6" s="462" t="str">
        <f ca="1">Horarios!Q5</f>
        <v>Australia</v>
      </c>
      <c r="BH6" s="463">
        <f t="shared" ca="1" si="0"/>
        <v>1</v>
      </c>
      <c r="BI6" s="463">
        <f ca="1">COUNTIF(Pool!$C$130:$C$161,Fixture!BG6)-BJ6-BK6-BL6-BM6-BN6-BO6</f>
        <v>0</v>
      </c>
      <c r="BJ6" s="464">
        <f ca="1">COUNTIF(Pool!$C$182:$C$197,Fixture!BG6)-BK6-BL6-BM6-BN6-BO6</f>
        <v>0</v>
      </c>
      <c r="BK6" s="465">
        <f ca="1">COUNTIF(Pool!$C$210:$C$217,Fixture!BG6)-BL6-BM6-BN6-BO6</f>
        <v>0</v>
      </c>
      <c r="BL6" s="465">
        <f ca="1">COUNTIF(Pool!$C$226:$C$229,Fixture!BG6)-BM6-BN6-BO6</f>
        <v>0</v>
      </c>
      <c r="BM6" s="463">
        <f ca="1">COUNTIF(Pool!$C$252,Fixture!BG6)</f>
        <v>0</v>
      </c>
      <c r="BN6" s="463">
        <f ca="1">COUNTIF(Pool!$C$251,Fixture!BG6)</f>
        <v>0</v>
      </c>
      <c r="BO6" s="466">
        <f ca="1">COUNTIF(Pool!$C$250,Fixture!BG6)</f>
        <v>0</v>
      </c>
    </row>
    <row r="7" spans="1:67" ht="16" thickBot="1" x14ac:dyDescent="0.25">
      <c r="A7" s="181">
        <v>53</v>
      </c>
      <c r="B7" s="443"/>
      <c r="C7" s="444" t="str">
        <f ca="1">+MID(INDEX(WORLDCUP!$AA$4:$AA$147,MATCH(A7,WORLDCUP!$AH$4:$AH$147,0)),1,3)</f>
        <v>Cze</v>
      </c>
      <c r="D7" s="445" t="str">
        <f>IF(ISBLANK(INDEX(WORLDCUP!$AC$4:$AC$147,MATCH(A7,WORLDCUP!$AH$4:$AH$147,0))),"",INDEX(WORLDCUP!$AC$4:$AC$147,MATCH(A7,WORLDCUP!$AH$4:$AH$147,0)))</f>
        <v/>
      </c>
      <c r="E7" s="445" t="str">
        <f>IF(ISBLANK(INDEX(WORLDCUP!$AD$4:$AD$147,MATCH(A7,WORLDCUP!$AH$4:$AH$147,0))),"",INDEX(WORLDCUP!$AD$4:$AD$147,MATCH(A7,WORLDCUP!$AH$4:$AH$147,0)))</f>
        <v/>
      </c>
      <c r="F7" s="446" t="str">
        <f ca="1">+MID(INDEX(WORLDCUP!$AF$4:$AF$147,MATCH(A7,WORLDCUP!$AH$4:$AH$147,0)),1,3)</f>
        <v>Mex</v>
      </c>
      <c r="G7" s="467">
        <v>4</v>
      </c>
      <c r="H7" s="476" t="str">
        <f ca="1">+MID(INDEX(WORLDCUP!$AL$6:$AL$97,MATCH(L7,WORLDCUP!$AI$6:$AI$97,0)),1,3)</f>
        <v>Cze</v>
      </c>
      <c r="I7" s="477">
        <f ca="1">+INDEX(WORLDCUP!$AM$6:$AM$97,MATCH(L7,WORLDCUP!$AI$6:$AI$97,0))</f>
        <v>0</v>
      </c>
      <c r="J7" s="478">
        <f ca="1">+INDEX(WORLDCUP!$AT$6:$AT$97,MATCH(L7,WORLDCUP!$AI$6:$AI$97,0))</f>
        <v>0</v>
      </c>
      <c r="K7" s="479" t="str">
        <f ca="1">+INDEX(WORLDCUP!$AR$6:$AR$97,MATCH(L7,WORLDCUP!$AI$6:$AI$97,0))&amp;"-"&amp;INDEX(WORLDCUP!$AS$6:$AS$97,MATCH(L7,WORLDCUP!$AI$6:$AI$97,0))</f>
        <v>0-0</v>
      </c>
      <c r="L7" s="181" t="s">
        <v>658</v>
      </c>
      <c r="M7" s="181">
        <v>63</v>
      </c>
      <c r="N7" s="452"/>
      <c r="O7" s="444" t="str">
        <f ca="1">+MID(INDEX(WORLDCUP!$AA$4:$AA$147,MATCH(M7,WORLDCUP!$AH$4:$AH$147,0)),1,3)</f>
        <v>Egy</v>
      </c>
      <c r="P7" s="445" t="str">
        <f>IF(ISBLANK(INDEX(WORLDCUP!$AC$4:$AC$147,MATCH(M7,WORLDCUP!$AH$4:$AH$147,0))),"",INDEX(WORLDCUP!$AC$4:$AC$147,MATCH(M7,WORLDCUP!$AH$4:$AH$147,0)))</f>
        <v/>
      </c>
      <c r="Q7" s="445" t="str">
        <f>IF(ISBLANK(INDEX(WORLDCUP!$AD$4:$AD$147,MATCH(M7,WORLDCUP!$AH$4:$AH$147,0))),"",INDEX(WORLDCUP!$AD$4:$AD$147,MATCH(M7,WORLDCUP!$AH$4:$AH$147,0)))</f>
        <v/>
      </c>
      <c r="R7" s="446" t="str">
        <f ca="1">+MID(INDEX(WORLDCUP!$AF$4:$AF$147,MATCH(M7,WORLDCUP!$AH$4:$AH$147,0)),1,3)</f>
        <v>Ira</v>
      </c>
      <c r="S7" s="467">
        <v>4</v>
      </c>
      <c r="T7" s="476" t="str">
        <f ca="1">+MID(INDEX(WORLDCUP!$AL$6:$AL$97,MATCH(X7,WORLDCUP!$AI$6:$AI$97,0)),1,3)</f>
        <v>New</v>
      </c>
      <c r="U7" s="477">
        <f ca="1">+INDEX(WORLDCUP!$AM$6:$AM$97,MATCH(X7,WORLDCUP!$AI$6:$AI$97,0))</f>
        <v>0</v>
      </c>
      <c r="V7" s="478">
        <f ca="1">+INDEX(WORLDCUP!$AT$6:$AT$97,MATCH(X7,WORLDCUP!$AI$6:$AI$97,0))</f>
        <v>0</v>
      </c>
      <c r="W7" s="479" t="str">
        <f ca="1">+INDEX(WORLDCUP!$AR$6:$AR$97,MATCH(X7,WORLDCUP!$AI$6:$AI$97,0))&amp;"-"&amp;INDEX(WORLDCUP!$AS$6:$AS$97,MATCH(X7,WORLDCUP!$AI$6:$AI$97,0))</f>
        <v>0-0</v>
      </c>
      <c r="X7" s="181" t="s">
        <v>680</v>
      </c>
      <c r="Y7" s="181">
        <v>77</v>
      </c>
      <c r="Z7" s="425" t="s">
        <v>734</v>
      </c>
      <c r="AA7" s="480" t="str">
        <f ca="1">+MID(INDEX(WORLDCUP!$AF$101:$AF$147,MATCH(Y7,WORLDCUP!$Z$101:$Z$147,0)),1,IF(WORLDCUP!$H$113&lt;144,6,3))</f>
        <v>3CDFGH</v>
      </c>
      <c r="AB7" s="481" t="str">
        <f>+IF(ISBLANK(INDEX(WORLDCUP!$AD$101:$AD$147,MATCH(Y7,WORLDCUP!$Z$101:$Z$147,0))),"",INDEX(WORLDCUP!$AD$101:$AD$147,MATCH(Y7,WORLDCUP!$Z$101:$Z$147,0)))</f>
        <v/>
      </c>
      <c r="AC7" s="482" t="str">
        <f>+IF(ISBLANK(INDEX(WORLDCUP!$AE$101:$AE$147,MATCH(Y7,WORLDCUP!$Z$101:$Z$147,0))),"","( "&amp;INDEX(WORLDCUP!$AE$101:$AE$147,MATCH(Y7,WORLDCUP!$Z$101:$Z$147,0))&amp;" )")</f>
        <v/>
      </c>
      <c r="AD7" s="181"/>
      <c r="AE7" s="474"/>
      <c r="AF7" s="474"/>
      <c r="AG7" s="475"/>
      <c r="AH7" s="455">
        <v>97</v>
      </c>
      <c r="AI7" s="483" t="str">
        <f>+MID(INDEX(WORLDCUP!$AA$101:$AA$147,MATCH(AH7,WORLDCUP!$Z$101:$Z$147,0)),1,3)</f>
        <v>W89</v>
      </c>
      <c r="AJ7" s="484" t="str">
        <f>+IF(ISBLANK(INDEX(WORLDCUP!$AC$101:$AC$147,MATCH(AH7,WORLDCUP!$Z$101:$Z$147,0))),"",INDEX(WORLDCUP!$AC$101:$AC$147,MATCH(AH7,WORLDCUP!$Z$101:$Z$147,0)))</f>
        <v/>
      </c>
      <c r="AK7" s="485" t="str">
        <f>+IF(ISBLANK(INDEX(WORLDCUP!$AB$101:$AB$147,MATCH(AH7,WORLDCUP!$Z$101:$Z$147,0))),"","( "&amp;INDEX(WORLDCUP!$AB$101:$AB$147,MATCH(AH7,WORLDCUP!$Z$101:$Z$147,0))&amp;" )")</f>
        <v/>
      </c>
      <c r="AL7" s="415"/>
      <c r="AM7" s="431"/>
      <c r="AN7" s="431"/>
      <c r="AO7" s="431"/>
      <c r="AP7" s="181"/>
      <c r="AQ7" s="460"/>
      <c r="AR7" s="460"/>
      <c r="AS7" s="460"/>
      <c r="AT7" s="181"/>
      <c r="AU7" s="433"/>
      <c r="AV7" s="433"/>
      <c r="AW7" s="433"/>
      <c r="AX7" s="181"/>
      <c r="AY7" s="153"/>
      <c r="AZ7" s="153"/>
      <c r="BA7" s="153"/>
      <c r="BB7" s="153"/>
      <c r="BC7" s="153"/>
      <c r="BD7" s="153"/>
      <c r="BE7" s="153"/>
      <c r="BG7" s="462" t="str">
        <f ca="1">Horarios!Q6</f>
        <v>Austria</v>
      </c>
      <c r="BH7" s="463">
        <f t="shared" ca="1" si="0"/>
        <v>1</v>
      </c>
      <c r="BI7" s="463">
        <f ca="1">COUNTIF(Pool!$C$130:$C$161,Fixture!BG7)-BJ7-BK7-BL7-BM7-BN7-BO7</f>
        <v>0</v>
      </c>
      <c r="BJ7" s="464">
        <f ca="1">COUNTIF(Pool!$C$182:$C$197,Fixture!BG7)-BK7-BL7-BM7-BN7-BO7</f>
        <v>0</v>
      </c>
      <c r="BK7" s="465">
        <f ca="1">COUNTIF(Pool!$C$210:$C$217,Fixture!BG7)-BL7-BM7-BN7-BO7</f>
        <v>0</v>
      </c>
      <c r="BL7" s="465">
        <f ca="1">COUNTIF(Pool!$C$226:$C$229,Fixture!BG7)-BM7-BN7-BO7</f>
        <v>0</v>
      </c>
      <c r="BM7" s="463">
        <f ca="1">COUNTIF(Pool!$C$252,Fixture!BG7)</f>
        <v>0</v>
      </c>
      <c r="BN7" s="463">
        <f ca="1">COUNTIF(Pool!$C$251,Fixture!BG7)</f>
        <v>0</v>
      </c>
      <c r="BO7" s="466">
        <f ca="1">COUNTIF(Pool!$C$250,Fixture!BG7)</f>
        <v>0</v>
      </c>
    </row>
    <row r="8" spans="1:67" ht="16" thickBot="1" x14ac:dyDescent="0.25">
      <c r="A8" s="181">
        <v>54</v>
      </c>
      <c r="B8" s="486"/>
      <c r="C8" s="487" t="str">
        <f ca="1">+MID(INDEX(WORLDCUP!$AA$4:$AA$147,MATCH(A8,WORLDCUP!$AH$4:$AH$147,0)),1,3)</f>
        <v>Sou</v>
      </c>
      <c r="D8" s="488" t="str">
        <f>IF(ISBLANK(INDEX(WORLDCUP!$AC$4:$AC$147,MATCH(A8,WORLDCUP!$AH$4:$AH$147,0))),"",INDEX(WORLDCUP!$AC$4:$AC$147,MATCH(A8,WORLDCUP!$AH$4:$AH$147,0)))</f>
        <v/>
      </c>
      <c r="E8" s="488" t="str">
        <f>IF(ISBLANK(INDEX(WORLDCUP!$AD$4:$AD$147,MATCH(A8,WORLDCUP!$AH$4:$AH$147,0))),"",INDEX(WORLDCUP!$AD$4:$AD$147,MATCH(A8,WORLDCUP!$AH$4:$AH$147,0)))</f>
        <v/>
      </c>
      <c r="F8" s="489" t="str">
        <f ca="1">+MID(INDEX(WORLDCUP!$AF$4:$AF$147,MATCH(A8,WORLDCUP!$AH$4:$AH$147,0)),1,3)</f>
        <v>Sou</v>
      </c>
      <c r="G8" s="490"/>
      <c r="H8" s="490"/>
      <c r="I8" s="491"/>
      <c r="J8" s="491"/>
      <c r="K8" s="492"/>
      <c r="L8" s="181"/>
      <c r="M8" s="181">
        <v>64</v>
      </c>
      <c r="N8" s="493"/>
      <c r="O8" s="487" t="str">
        <f ca="1">+MID(INDEX(WORLDCUP!$AA$4:$AA$147,MATCH(M8,WORLDCUP!$AH$4:$AH$147,0)),1,3)</f>
        <v>New</v>
      </c>
      <c r="P8" s="488" t="str">
        <f>IF(ISBLANK(INDEX(WORLDCUP!$AC$4:$AC$147,MATCH(M8,WORLDCUP!$AH$4:$AH$147,0))),"",INDEX(WORLDCUP!$AC$4:$AC$147,MATCH(M8,WORLDCUP!$AH$4:$AH$147,0)))</f>
        <v/>
      </c>
      <c r="Q8" s="488" t="str">
        <f>IF(ISBLANK(INDEX(WORLDCUP!$AD$4:$AD$147,MATCH(M8,WORLDCUP!$AH$4:$AH$147,0))),"",INDEX(WORLDCUP!$AD$4:$AD$147,MATCH(M8,WORLDCUP!$AH$4:$AH$147,0)))</f>
        <v/>
      </c>
      <c r="R8" s="489" t="str">
        <f ca="1">+MID(INDEX(WORLDCUP!$AF$4:$AF$147,MATCH(M8,WORLDCUP!$AH$4:$AH$147,0)),1,3)</f>
        <v>Bel</v>
      </c>
      <c r="S8" s="490"/>
      <c r="T8" s="490"/>
      <c r="U8" s="491"/>
      <c r="V8" s="491"/>
      <c r="W8" s="492"/>
      <c r="X8" s="181"/>
      <c r="Y8" s="181"/>
      <c r="Z8" s="425"/>
      <c r="AA8" s="494"/>
      <c r="AB8" s="494"/>
      <c r="AC8" s="494"/>
      <c r="AD8" s="181"/>
      <c r="AE8" s="429"/>
      <c r="AF8" s="429"/>
      <c r="AG8" s="475"/>
      <c r="AH8" s="181">
        <v>97</v>
      </c>
      <c r="AI8" s="483" t="str">
        <f>+MID(INDEX(WORLDCUP!$AF$101:$AF$147,MATCH(AH8,WORLDCUP!$Z$101:$Z$147,0)),1,3)</f>
        <v>W90</v>
      </c>
      <c r="AJ8" s="484" t="str">
        <f>+IF(ISBLANK(INDEX(WORLDCUP!$AD$101:$AD$147,MATCH(AH8,WORLDCUP!$Z$101:$Z$147,0))),"",INDEX(WORLDCUP!$AD$101:$AD$147,MATCH(AH8,WORLDCUP!$Z$101:$Z$147,0)))</f>
        <v/>
      </c>
      <c r="AK8" s="495" t="str">
        <f>+IF(ISBLANK(INDEX(WORLDCUP!$AE$101:$AE$147,MATCH(AH8,WORLDCUP!$Z$101:$Z$147,0))),"","( "&amp;INDEX(WORLDCUP!$AE$101:$AE$147,MATCH(AH8,WORLDCUP!$Z$101:$Z$147,0))&amp;" )")</f>
        <v/>
      </c>
      <c r="AL8" s="415"/>
      <c r="AM8" s="431"/>
      <c r="AN8" s="431"/>
      <c r="AO8" s="431"/>
      <c r="AP8" s="181"/>
      <c r="AQ8" s="460"/>
      <c r="AR8" s="460"/>
      <c r="AS8" s="460"/>
      <c r="AT8" s="181"/>
      <c r="AU8" s="433"/>
      <c r="AV8" s="433"/>
      <c r="AW8" s="433"/>
      <c r="AX8" s="181"/>
      <c r="AY8" s="153"/>
      <c r="AZ8" s="153"/>
      <c r="BA8" s="153"/>
      <c r="BB8" s="153"/>
      <c r="BC8" s="153"/>
      <c r="BD8" s="153"/>
      <c r="BE8" s="153"/>
      <c r="BG8" s="462" t="str">
        <f ca="1">Horarios!Q7</f>
        <v>Belgium</v>
      </c>
      <c r="BH8" s="463">
        <f t="shared" ca="1" si="0"/>
        <v>1</v>
      </c>
      <c r="BI8" s="463">
        <f ca="1">COUNTIF(Pool!$C$130:$C$161,Fixture!BG8)-BJ8-BK8-BL8-BM8-BN8-BO8</f>
        <v>0</v>
      </c>
      <c r="BJ8" s="464">
        <f ca="1">COUNTIF(Pool!$C$182:$C$197,Fixture!BG8)-BK8-BL8-BM8-BN8-BO8</f>
        <v>0</v>
      </c>
      <c r="BK8" s="465">
        <f ca="1">COUNTIF(Pool!$C$210:$C$217,Fixture!BG8)-BL8-BM8-BN8-BO8</f>
        <v>0</v>
      </c>
      <c r="BL8" s="465">
        <f ca="1">COUNTIF(Pool!$C$226:$C$229,Fixture!BG8)-BM8-BN8-BO8</f>
        <v>0</v>
      </c>
      <c r="BM8" s="463">
        <f ca="1">COUNTIF(Pool!$C$252,Fixture!BG8)</f>
        <v>0</v>
      </c>
      <c r="BN8" s="463">
        <f ca="1">COUNTIF(Pool!$C$251,Fixture!BG8)</f>
        <v>0</v>
      </c>
      <c r="BO8" s="466">
        <f ca="1">COUNTIF(Pool!$C$250,Fixture!BG8)</f>
        <v>0</v>
      </c>
    </row>
    <row r="9" spans="1:67" ht="16" thickBot="1" x14ac:dyDescent="0.25">
      <c r="A9" s="181"/>
      <c r="B9" s="411"/>
      <c r="C9" s="496"/>
      <c r="D9" s="497"/>
      <c r="E9" s="497"/>
      <c r="F9" s="153"/>
      <c r="G9" s="153"/>
      <c r="H9" s="496"/>
      <c r="I9" s="153"/>
      <c r="J9" s="153"/>
      <c r="K9" s="153"/>
      <c r="L9" s="181"/>
      <c r="M9" s="181"/>
      <c r="N9" s="151"/>
      <c r="O9" s="496"/>
      <c r="P9" s="497"/>
      <c r="Q9" s="497"/>
      <c r="R9" s="153"/>
      <c r="S9" s="153"/>
      <c r="T9" s="496"/>
      <c r="U9" s="153"/>
      <c r="V9" s="153"/>
      <c r="W9" s="153"/>
      <c r="X9" s="181"/>
      <c r="Y9" s="181">
        <v>73</v>
      </c>
      <c r="Z9" s="425" t="s">
        <v>657</v>
      </c>
      <c r="AA9" s="426" t="str">
        <f ca="1">+MID(INDEX(WORLDCUP!$AA$101:$AA$147,MATCH(Y9,WORLDCUP!$Z$101:$Z$147,0)),1,3)</f>
        <v>2A</v>
      </c>
      <c r="AB9" s="427" t="str">
        <f>+IF(ISBLANK(INDEX(WORLDCUP!$AC$101:$AC$147,MATCH(Y9,WORLDCUP!$Z$101:$Z$147,0))),"",INDEX(WORLDCUP!$AC$101:$AC$147,MATCH(Y9,WORLDCUP!$Z$101:$Z$147,0)))</f>
        <v/>
      </c>
      <c r="AC9" s="498" t="str">
        <f>+IF(ISBLANK(INDEX(WORLDCUP!$AB$101:$AB$147,MATCH(Y9,WORLDCUP!$Z$101:$Z$147,0))),"","( "&amp;INDEX(WORLDCUP!$AB$101:$AB$147,MATCH(Y9,WORLDCUP!$Z$101:$Z$147,0))&amp;" )")</f>
        <v/>
      </c>
      <c r="AD9" s="179"/>
      <c r="AE9" s="429"/>
      <c r="AF9" s="429"/>
      <c r="AG9" s="475"/>
      <c r="AH9" s="181"/>
      <c r="AI9" s="459"/>
      <c r="AJ9" s="459"/>
      <c r="AK9" s="499"/>
      <c r="AL9" s="415"/>
      <c r="AM9" s="431"/>
      <c r="AN9" s="431"/>
      <c r="AO9" s="431"/>
      <c r="AP9" s="181"/>
      <c r="AQ9" s="460"/>
      <c r="AR9" s="460"/>
      <c r="AS9" s="460"/>
      <c r="AT9" s="181"/>
      <c r="AU9" s="433"/>
      <c r="AV9" s="433"/>
      <c r="AW9" s="433"/>
      <c r="AX9" s="181"/>
      <c r="AY9" s="153"/>
      <c r="AZ9" s="153"/>
      <c r="BA9" s="153"/>
      <c r="BB9" s="153"/>
      <c r="BC9" s="153"/>
      <c r="BD9" s="153"/>
      <c r="BE9" s="153"/>
      <c r="BG9" s="462" t="str">
        <f ca="1">Horarios!Q8</f>
        <v>Bosnia and Herzegovina</v>
      </c>
      <c r="BH9" s="463">
        <f t="shared" ca="1" si="0"/>
        <v>1</v>
      </c>
      <c r="BI9" s="463">
        <f ca="1">COUNTIF(Pool!$C$130:$C$161,Fixture!BG9)-BJ9-BK9-BL9-BM9-BN9-BO9</f>
        <v>0</v>
      </c>
      <c r="BJ9" s="464">
        <f ca="1">COUNTIF(Pool!$C$182:$C$197,Fixture!BG9)-BK9-BL9-BM9-BN9-BO9</f>
        <v>0</v>
      </c>
      <c r="BK9" s="465">
        <f ca="1">COUNTIF(Pool!$C$210:$C$217,Fixture!BG9)-BL9-BM9-BN9-BO9</f>
        <v>0</v>
      </c>
      <c r="BL9" s="465">
        <f ca="1">COUNTIF(Pool!$C$226:$C$229,Fixture!BG9)-BM9-BN9-BO9</f>
        <v>0</v>
      </c>
      <c r="BM9" s="463">
        <f ca="1">COUNTIF(Pool!$C$252,Fixture!BG9)</f>
        <v>0</v>
      </c>
      <c r="BN9" s="463">
        <f ca="1">COUNTIF(Pool!$C$251,Fixture!BG9)</f>
        <v>0</v>
      </c>
      <c r="BO9" s="466">
        <f ca="1">COUNTIF(Pool!$C$250,Fixture!BG9)</f>
        <v>0</v>
      </c>
    </row>
    <row r="10" spans="1:67" ht="16" thickBot="1" x14ac:dyDescent="0.25">
      <c r="A10" s="181"/>
      <c r="B10" s="411"/>
      <c r="C10" s="496"/>
      <c r="D10" s="497"/>
      <c r="E10" s="497"/>
      <c r="F10" s="153"/>
      <c r="G10" s="153"/>
      <c r="H10" s="496"/>
      <c r="I10" s="153"/>
      <c r="J10" s="153"/>
      <c r="K10" s="153"/>
      <c r="L10" s="181"/>
      <c r="M10" s="181"/>
      <c r="N10" s="151"/>
      <c r="O10" s="496"/>
      <c r="P10" s="497"/>
      <c r="Q10" s="497"/>
      <c r="R10" s="153"/>
      <c r="S10" s="153"/>
      <c r="T10" s="496"/>
      <c r="U10" s="153"/>
      <c r="V10" s="153"/>
      <c r="W10" s="153"/>
      <c r="X10" s="181"/>
      <c r="Y10" s="181">
        <v>73</v>
      </c>
      <c r="Z10" s="425" t="s">
        <v>660</v>
      </c>
      <c r="AA10" s="426" t="str">
        <f ca="1">+MID(INDEX(WORLDCUP!$AF$101:$AF$147,MATCH(Y10,WORLDCUP!$Z$101:$Z$147,0)),1,3)</f>
        <v>2B</v>
      </c>
      <c r="AB10" s="453" t="str">
        <f>+IF(ISBLANK(INDEX(WORLDCUP!$AD$101:$AD$147,MATCH(Y10,WORLDCUP!$Z$101:$Z$147,0))),"",INDEX(WORLDCUP!$AD$101:$AD$147,MATCH(Y10,WORLDCUP!$Z$101:$Z$147,0)))</f>
        <v/>
      </c>
      <c r="AC10" s="454" t="str">
        <f>+IF(ISBLANK(INDEX(WORLDCUP!$AE$101:$AE$147,MATCH(Y10,WORLDCUP!$Z$101:$Z$147,0))),"","( "&amp;INDEX(WORLDCUP!$AE$101:$AE$147,MATCH(Y10,WORLDCUP!$Z$101:$Z$147,0))&amp;" )")</f>
        <v/>
      </c>
      <c r="AD10" s="500">
        <v>90</v>
      </c>
      <c r="AE10" s="456" t="str">
        <f>+MID(INDEX(WORLDCUP!$AA$101:$AA$147,MATCH(AD10,WORLDCUP!$Z$101:$Z$147,0)),1,3)</f>
        <v>W73</v>
      </c>
      <c r="AF10" s="457" t="str">
        <f>+IF(ISBLANK(INDEX(WORLDCUP!$AC$101:$AC$147,MATCH(AD10,WORLDCUP!$Z$101:$Z$147,0))),"",INDEX(WORLDCUP!$AC$101:$AC$147,MATCH(AD10,WORLDCUP!$Z$101:$Z$147,0)))</f>
        <v/>
      </c>
      <c r="AG10" s="501" t="str">
        <f>+IF(ISBLANK(INDEX(WORLDCUP!$AB$101:$AB$147,MATCH(AD10,WORLDCUP!$Z$101:$Z$147,0))),"","( "&amp;INDEX(WORLDCUP!$AB$101:$AB$147,MATCH(AD10,WORLDCUP!$Z$101:$Z$147,0))&amp;" )")</f>
        <v/>
      </c>
      <c r="AH10" s="181"/>
      <c r="AI10" s="459"/>
      <c r="AJ10" s="459"/>
      <c r="AK10" s="499"/>
      <c r="AL10" s="415"/>
      <c r="AM10" s="431"/>
      <c r="AN10" s="431"/>
      <c r="AO10" s="431"/>
      <c r="AP10" s="181"/>
      <c r="AQ10" s="460"/>
      <c r="AR10" s="460"/>
      <c r="AS10" s="460"/>
      <c r="AT10" s="181"/>
      <c r="AU10" s="433"/>
      <c r="AV10" s="433"/>
      <c r="AW10" s="433"/>
      <c r="AX10" s="181"/>
      <c r="AY10" s="153"/>
      <c r="AZ10" s="151"/>
      <c r="BA10" s="151"/>
      <c r="BB10" s="147"/>
      <c r="BC10" s="496"/>
      <c r="BD10" s="497"/>
      <c r="BE10" s="497"/>
      <c r="BF10" s="2"/>
      <c r="BG10" s="462" t="str">
        <f ca="1">Horarios!Q9</f>
        <v>Brazil</v>
      </c>
      <c r="BH10" s="463">
        <f t="shared" ca="1" si="0"/>
        <v>1</v>
      </c>
      <c r="BI10" s="463">
        <f ca="1">COUNTIF(Pool!$C$130:$C$161,Fixture!BG10)-BJ10-BK10-BL10-BM10-BN10-BO10</f>
        <v>0</v>
      </c>
      <c r="BJ10" s="464">
        <f ca="1">COUNTIF(Pool!$C$182:$C$197,Fixture!BG10)-BK10-BL10-BM10-BN10-BO10</f>
        <v>0</v>
      </c>
      <c r="BK10" s="465">
        <f ca="1">COUNTIF(Pool!$C$210:$C$217,Fixture!BG10)-BL10-BM10-BN10-BO10</f>
        <v>0</v>
      </c>
      <c r="BL10" s="465">
        <f ca="1">COUNTIF(Pool!$C$226:$C$229,Fixture!BG10)-BM10-BN10-BO10</f>
        <v>0</v>
      </c>
      <c r="BM10" s="463">
        <f ca="1">COUNTIF(Pool!$C$252,Fixture!BG10)</f>
        <v>0</v>
      </c>
      <c r="BN10" s="463">
        <f ca="1">COUNTIF(Pool!$C$251,Fixture!BG10)</f>
        <v>0</v>
      </c>
      <c r="BO10" s="466">
        <f ca="1">COUNTIF(Pool!$C$250,Fixture!BG10)</f>
        <v>0</v>
      </c>
    </row>
    <row r="11" spans="1:67" x14ac:dyDescent="0.2">
      <c r="A11" s="181">
        <v>3</v>
      </c>
      <c r="B11" s="502" t="s">
        <v>1</v>
      </c>
      <c r="C11" s="417" t="str">
        <f ca="1">+MID(INDEX(WORLDCUP!$AA$4:$AA$147,MATCH(A11,WORLDCUP!$AH$4:$AH$147,0)),1,3)</f>
        <v>Can</v>
      </c>
      <c r="D11" s="418" t="str">
        <f>IF(ISBLANK(INDEX(WORLDCUP!$AC$4:$AC$147,MATCH(A11,WORLDCUP!$AH$4:$AH$147,0))),"",INDEX(WORLDCUP!$AC$4:$AC$147,MATCH(A11,WORLDCUP!$AH$4:$AH$147,0)))</f>
        <v/>
      </c>
      <c r="E11" s="418" t="str">
        <f>IF(ISBLANK(INDEX(WORLDCUP!$AD$4:$AD$147,MATCH(A11,WORLDCUP!$AH$4:$AH$147,0))),"",INDEX(WORLDCUP!$AD$4:$AD$147,MATCH(A11,WORLDCUP!$AH$4:$AH$147,0)))</f>
        <v/>
      </c>
      <c r="F11" s="419" t="str">
        <f ca="1">+MID(INDEX(WORLDCUP!$AF$4:$AF$147,MATCH(A11,WORLDCUP!$AH$4:$AH$147,0)),1,3)</f>
        <v>Bos</v>
      </c>
      <c r="G11" s="420"/>
      <c r="H11" s="421" t="str">
        <f>+H3</f>
        <v>Nat</v>
      </c>
      <c r="I11" s="422" t="str">
        <f>+I3</f>
        <v>Pts</v>
      </c>
      <c r="J11" s="422" t="str">
        <f>+J3</f>
        <v>GD</v>
      </c>
      <c r="K11" s="423" t="str">
        <f>+K3</f>
        <v>F-A</v>
      </c>
      <c r="L11" s="181"/>
      <c r="M11" s="181">
        <v>14</v>
      </c>
      <c r="N11" s="503" t="s">
        <v>447</v>
      </c>
      <c r="O11" s="417" t="str">
        <f ca="1">+MID(INDEX(WORLDCUP!$AA$4:$AA$147,MATCH(M11,WORLDCUP!$AH$4:$AH$147,0)),1,3)</f>
        <v>Spa</v>
      </c>
      <c r="P11" s="418" t="str">
        <f>IF(ISBLANK(INDEX(WORLDCUP!$AC$4:$AC$147,MATCH(M11,WORLDCUP!$AH$4:$AH$147,0))),"",INDEX(WORLDCUP!$AC$4:$AC$147,MATCH(M11,WORLDCUP!$AH$4:$AH$147,0)))</f>
        <v/>
      </c>
      <c r="Q11" s="418" t="str">
        <f>IF(ISBLANK(INDEX(WORLDCUP!$AD$4:$AD$147,MATCH(M11,WORLDCUP!$AH$4:$AH$147,0))),"",INDEX(WORLDCUP!$AD$4:$AD$147,MATCH(M11,WORLDCUP!$AH$4:$AH$147,0)))</f>
        <v/>
      </c>
      <c r="R11" s="419" t="str">
        <f ca="1">+MID(INDEX(WORLDCUP!$AF$4:$AF$147,MATCH(M11,WORLDCUP!$AH$4:$AH$147,0)),1,3)</f>
        <v>Cap</v>
      </c>
      <c r="S11" s="420"/>
      <c r="T11" s="421" t="str">
        <f>+T3</f>
        <v>Nat</v>
      </c>
      <c r="U11" s="422" t="str">
        <f t="shared" ref="U11:W11" si="1">+U3</f>
        <v>Pts</v>
      </c>
      <c r="V11" s="422" t="str">
        <f t="shared" si="1"/>
        <v>GD</v>
      </c>
      <c r="W11" s="423" t="str">
        <f t="shared" si="1"/>
        <v>F-A</v>
      </c>
      <c r="X11" s="181"/>
      <c r="Y11" s="181"/>
      <c r="Z11" s="425"/>
      <c r="AA11" s="469"/>
      <c r="AB11" s="469"/>
      <c r="AC11" s="470"/>
      <c r="AD11" s="181">
        <v>90</v>
      </c>
      <c r="AE11" s="456" t="str">
        <f>+MID(INDEX(WORLDCUP!$AF$101:$AF$147,MATCH(AD11,WORLDCUP!$Z$101:$Z$147,0)),1,3)</f>
        <v>W75</v>
      </c>
      <c r="AF11" s="457" t="str">
        <f>+IF(ISBLANK(INDEX(WORLDCUP!$AD$101:$AD$147,MATCH(AD11,WORLDCUP!$Z$101:$Z$147,0))),"",INDEX(WORLDCUP!$AD$101:$AD$147,MATCH(AD11,WORLDCUP!$Z$101:$Z$147,0)))</f>
        <v/>
      </c>
      <c r="AG11" s="474" t="str">
        <f>+IF(ISBLANK(INDEX(WORLDCUP!$AE$101:$AE$147,MATCH(AD11,WORLDCUP!$Z$101:$Z$147,0))),"","( "&amp;INDEX(WORLDCUP!$AE$101:$AE$147,MATCH(AD11,WORLDCUP!$Z$101:$Z$147,0))&amp;" )")</f>
        <v/>
      </c>
      <c r="AH11" s="181"/>
      <c r="AI11" s="459"/>
      <c r="AJ11" s="459"/>
      <c r="AK11" s="499"/>
      <c r="AL11" s="415"/>
      <c r="AM11" s="431"/>
      <c r="AN11" s="431"/>
      <c r="AO11" s="431"/>
      <c r="AP11" s="181"/>
      <c r="AQ11" s="460"/>
      <c r="AR11" s="460"/>
      <c r="AS11" s="460"/>
      <c r="AT11" s="181"/>
      <c r="AU11" s="433"/>
      <c r="AV11" s="433"/>
      <c r="AW11" s="433"/>
      <c r="AX11" s="181"/>
      <c r="AY11" s="153"/>
      <c r="AZ11" s="153"/>
      <c r="BA11" s="153"/>
      <c r="BB11" s="153"/>
      <c r="BC11" s="153"/>
      <c r="BD11" s="153"/>
      <c r="BE11" s="153"/>
      <c r="BG11" s="462" t="str">
        <f ca="1">Horarios!Q10</f>
        <v>Canada</v>
      </c>
      <c r="BH11" s="463">
        <f t="shared" ca="1" si="0"/>
        <v>1</v>
      </c>
      <c r="BI11" s="463">
        <f ca="1">COUNTIF(Pool!$C$130:$C$161,Fixture!BG11)-BJ11-BK11-BL11-BM11-BN11-BO11</f>
        <v>0</v>
      </c>
      <c r="BJ11" s="464">
        <f ca="1">COUNTIF(Pool!$C$182:$C$197,Fixture!BG11)-BK11-BL11-BM11-BN11-BO11</f>
        <v>0</v>
      </c>
      <c r="BK11" s="465">
        <f ca="1">COUNTIF(Pool!$C$210:$C$217,Fixture!BG11)-BL11-BM11-BN11-BO11</f>
        <v>0</v>
      </c>
      <c r="BL11" s="465">
        <f ca="1">COUNTIF(Pool!$C$226:$C$229,Fixture!BG11)-BM11-BN11-BO11</f>
        <v>0</v>
      </c>
      <c r="BM11" s="463">
        <f ca="1">COUNTIF(Pool!$C$252,Fixture!BG11)</f>
        <v>0</v>
      </c>
      <c r="BN11" s="463">
        <f ca="1">COUNTIF(Pool!$C$251,Fixture!BG11)</f>
        <v>0</v>
      </c>
      <c r="BO11" s="466">
        <f ca="1">COUNTIF(Pool!$C$250,Fixture!BG11)</f>
        <v>0</v>
      </c>
    </row>
    <row r="12" spans="1:67" ht="16" thickBot="1" x14ac:dyDescent="0.25">
      <c r="A12" s="181">
        <v>8</v>
      </c>
      <c r="B12" s="504"/>
      <c r="C12" s="444" t="str">
        <f ca="1">+MID(INDEX(WORLDCUP!$AA$4:$AA$147,MATCH(A12,WORLDCUP!$AH$4:$AH$147,0)),1,3)</f>
        <v>Qat</v>
      </c>
      <c r="D12" s="445" t="str">
        <f>IF(ISBLANK(INDEX(WORLDCUP!$AC$4:$AC$147,MATCH(A12,WORLDCUP!$AH$4:$AH$147,0))),"",INDEX(WORLDCUP!$AC$4:$AC$147,MATCH(A12,WORLDCUP!$AH$4:$AH$147,0)))</f>
        <v/>
      </c>
      <c r="E12" s="445" t="str">
        <f>IF(ISBLANK(INDEX(WORLDCUP!$AD$4:$AD$147,MATCH(A12,WORLDCUP!$AH$4:$AH$147,0))),"",INDEX(WORLDCUP!$AD$4:$AD$147,MATCH(A12,WORLDCUP!$AH$4:$AH$147,0)))</f>
        <v/>
      </c>
      <c r="F12" s="446" t="str">
        <f ca="1">+MID(INDEX(WORLDCUP!$AF$4:$AF$147,MATCH(A12,WORLDCUP!$AH$4:$AH$147,0)),1,3)</f>
        <v>Swi</v>
      </c>
      <c r="G12" s="447">
        <v>1</v>
      </c>
      <c r="H12" s="448" t="str">
        <f ca="1">+MID(INDEX(WORLDCUP!$AL$6:$AL$97,MATCH(L12,WORLDCUP!$AI$6:$AI$97,0)),1,3)</f>
        <v>Can</v>
      </c>
      <c r="I12" s="449">
        <f ca="1">+INDEX(WORLDCUP!$AM$6:$AM$97,MATCH(L12,WORLDCUP!$AI$6:$AI$97,0))</f>
        <v>0</v>
      </c>
      <c r="J12" s="450">
        <f ca="1">+INDEX(WORLDCUP!$AT$6:$AT$97,MATCH(L12,WORLDCUP!$AI$6:$AI$97,0))</f>
        <v>0</v>
      </c>
      <c r="K12" s="451" t="str">
        <f ca="1">+INDEX(WORLDCUP!$AR$6:$AR$97,MATCH(L12,WORLDCUP!$AI$6:$AI$97,0))&amp;"-"&amp;INDEX(WORLDCUP!$AS$6:$AS$97,MATCH(L12,WORLDCUP!$AI$6:$AI$97,0))</f>
        <v>0-0</v>
      </c>
      <c r="L12" s="181" t="s">
        <v>659</v>
      </c>
      <c r="M12" s="181">
        <v>13</v>
      </c>
      <c r="N12" s="505"/>
      <c r="O12" s="444" t="str">
        <f ca="1">+MID(INDEX(WORLDCUP!$AA$4:$AA$147,MATCH(M12,WORLDCUP!$AH$4:$AH$147,0)),1,3)</f>
        <v>Sau</v>
      </c>
      <c r="P12" s="445" t="str">
        <f>IF(ISBLANK(INDEX(WORLDCUP!$AC$4:$AC$147,MATCH(M12,WORLDCUP!$AH$4:$AH$147,0))),"",INDEX(WORLDCUP!$AC$4:$AC$147,MATCH(M12,WORLDCUP!$AH$4:$AH$147,0)))</f>
        <v/>
      </c>
      <c r="Q12" s="445" t="str">
        <f>IF(ISBLANK(INDEX(WORLDCUP!$AD$4:$AD$147,MATCH(M12,WORLDCUP!$AH$4:$AH$147,0))),"",INDEX(WORLDCUP!$AD$4:$AD$147,MATCH(M12,WORLDCUP!$AH$4:$AH$147,0)))</f>
        <v/>
      </c>
      <c r="R12" s="446" t="str">
        <f ca="1">+MID(INDEX(WORLDCUP!$AF$4:$AF$147,MATCH(M12,WORLDCUP!$AH$4:$AH$147,0)),1,3)</f>
        <v>Uru</v>
      </c>
      <c r="S12" s="447">
        <v>1</v>
      </c>
      <c r="T12" s="448" t="str">
        <f ca="1">+MID(INDEX(WORLDCUP!$AL$6:$AL$97,MATCH(X12,WORLDCUP!$AI$6:$AI$97,0)),1,3)</f>
        <v>Spa</v>
      </c>
      <c r="U12" s="449">
        <f ca="1">+INDEX(WORLDCUP!$AM$6:$AM$97,MATCH(X12,WORLDCUP!$AI$6:$AI$97,0))</f>
        <v>0</v>
      </c>
      <c r="V12" s="450">
        <f ca="1">+INDEX(WORLDCUP!$AT$6:$AT$97,MATCH(X12,WORLDCUP!$AI$6:$AI$97,0))</f>
        <v>0</v>
      </c>
      <c r="W12" s="451" t="str">
        <f ca="1">+INDEX(WORLDCUP!$AR$6:$AR$97,MATCH(X12,WORLDCUP!$AI$6:$AI$97,0))&amp;"-"&amp;INDEX(WORLDCUP!$AS$6:$AS$97,MATCH(X12,WORLDCUP!$AI$6:$AI$97,0))</f>
        <v>0-0</v>
      </c>
      <c r="X12" s="181" t="s">
        <v>681</v>
      </c>
      <c r="Y12" s="181">
        <v>75</v>
      </c>
      <c r="Z12" s="425" t="s">
        <v>675</v>
      </c>
      <c r="AA12" s="426" t="str">
        <f ca="1">+MID(INDEX(WORLDCUP!$AA$101:$AA$147,MATCH(Y12,WORLDCUP!$Z$101:$Z$147,0)),1,3)</f>
        <v>1F</v>
      </c>
      <c r="AB12" s="472" t="str">
        <f>+IF(ISBLANK(INDEX(WORLDCUP!$AC$101:$AC$147,MATCH(Y12,WORLDCUP!$Z$101:$Z$147,0))),"",INDEX(WORLDCUP!$AC$101:$AC$147,MATCH(Y12,WORLDCUP!$Z$101:$Z$147,0)))</f>
        <v/>
      </c>
      <c r="AC12" s="506" t="str">
        <f>+IF(ISBLANK(INDEX(WORLDCUP!$AB$101:$AB$147,MATCH(Y12,WORLDCUP!$Z$101:$Z$147,0))),"","( "&amp;INDEX(WORLDCUP!$AB$101:$AB$147,MATCH(Y12,WORLDCUP!$Z$101:$Z$147,0))&amp;" )")</f>
        <v/>
      </c>
      <c r="AD12" s="181"/>
      <c r="AE12" s="429"/>
      <c r="AF12" s="429"/>
      <c r="AG12" s="429"/>
      <c r="AH12" s="181"/>
      <c r="AI12" s="459"/>
      <c r="AJ12" s="459"/>
      <c r="AK12" s="499"/>
      <c r="AL12" s="415"/>
      <c r="AM12" s="431"/>
      <c r="AN12" s="431"/>
      <c r="AO12" s="431"/>
      <c r="AP12" s="181"/>
      <c r="AQ12" s="460"/>
      <c r="AR12" s="460"/>
      <c r="AS12" s="460"/>
      <c r="AT12" s="181"/>
      <c r="AU12" s="433"/>
      <c r="AV12" s="433"/>
      <c r="AW12" s="433"/>
      <c r="AX12" s="181"/>
      <c r="AY12" s="153"/>
      <c r="AZ12" s="153"/>
      <c r="BA12" s="153"/>
      <c r="BB12" s="153"/>
      <c r="BC12" s="153"/>
      <c r="BD12" s="153"/>
      <c r="BE12" s="153"/>
      <c r="BG12" s="462" t="str">
        <f ca="1">Horarios!Q11</f>
        <v>Cape Verde</v>
      </c>
      <c r="BH12" s="463">
        <f t="shared" ca="1" si="0"/>
        <v>1</v>
      </c>
      <c r="BI12" s="463">
        <f ca="1">COUNTIF(Pool!$C$130:$C$161,Fixture!BG12)-BJ12-BK12-BL12-BM12-BN12-BO12</f>
        <v>0</v>
      </c>
      <c r="BJ12" s="464">
        <f ca="1">COUNTIF(Pool!$C$182:$C$197,Fixture!BG12)-BK12-BL12-BM12-BN12-BO12</f>
        <v>0</v>
      </c>
      <c r="BK12" s="465">
        <f ca="1">COUNTIF(Pool!$C$210:$C$217,Fixture!BG12)-BL12-BM12-BN12-BO12</f>
        <v>0</v>
      </c>
      <c r="BL12" s="465">
        <f ca="1">COUNTIF(Pool!$C$226:$C$229,Fixture!BG12)-BM12-BN12-BO12</f>
        <v>0</v>
      </c>
      <c r="BM12" s="463">
        <f ca="1">COUNTIF(Pool!$C$252,Fixture!BG12)</f>
        <v>0</v>
      </c>
      <c r="BN12" s="463">
        <f ca="1">COUNTIF(Pool!$C$251,Fixture!BG12)</f>
        <v>0</v>
      </c>
      <c r="BO12" s="466">
        <f ca="1">COUNTIF(Pool!$C$250,Fixture!BG12)</f>
        <v>0</v>
      </c>
    </row>
    <row r="13" spans="1:67" ht="16" thickBot="1" x14ac:dyDescent="0.25">
      <c r="A13" s="181">
        <v>26</v>
      </c>
      <c r="B13" s="504"/>
      <c r="C13" s="444" t="str">
        <f ca="1">+MID(INDEX(WORLDCUP!$AA$4:$AA$147,MATCH(A13,WORLDCUP!$AH$4:$AH$147,0)),1,3)</f>
        <v>Swi</v>
      </c>
      <c r="D13" s="445" t="str">
        <f>IF(ISBLANK(INDEX(WORLDCUP!$AC$4:$AC$147,MATCH(A13,WORLDCUP!$AH$4:$AH$147,0))),"",INDEX(WORLDCUP!$AC$4:$AC$147,MATCH(A13,WORLDCUP!$AH$4:$AH$147,0)))</f>
        <v/>
      </c>
      <c r="E13" s="445" t="str">
        <f>IF(ISBLANK(INDEX(WORLDCUP!$AD$4:$AD$147,MATCH(A13,WORLDCUP!$AH$4:$AH$147,0))),"",INDEX(WORLDCUP!$AD$4:$AD$147,MATCH(A13,WORLDCUP!$AH$4:$AH$147,0)))</f>
        <v/>
      </c>
      <c r="F13" s="446" t="str">
        <f ca="1">+MID(INDEX(WORLDCUP!$AF$4:$AF$147,MATCH(A13,WORLDCUP!$AH$4:$AH$147,0)),1,3)</f>
        <v>Bos</v>
      </c>
      <c r="G13" s="467">
        <v>2</v>
      </c>
      <c r="H13" s="468" t="str">
        <f ca="1">+MID(INDEX(WORLDCUP!$AL$6:$AL$97,MATCH(L13,WORLDCUP!$AI$6:$AI$97,0)),1,3)</f>
        <v>Bos</v>
      </c>
      <c r="I13" s="38">
        <f ca="1">+INDEX(WORLDCUP!$AM$6:$AM$97,MATCH(L13,WORLDCUP!$AI$6:$AI$97,0))</f>
        <v>0</v>
      </c>
      <c r="J13" s="39">
        <f ca="1">+INDEX(WORLDCUP!$AT$6:$AT$97,MATCH(L13,WORLDCUP!$AI$6:$AI$97,0))</f>
        <v>0</v>
      </c>
      <c r="K13" s="43" t="str">
        <f ca="1">+INDEX(WORLDCUP!$AR$6:$AR$97,MATCH(L13,WORLDCUP!$AI$6:$AI$97,0))&amp;"-"&amp;INDEX(WORLDCUP!$AS$6:$AS$97,MATCH(L13,WORLDCUP!$AI$6:$AI$97,0))</f>
        <v>0-0</v>
      </c>
      <c r="L13" s="181" t="s">
        <v>660</v>
      </c>
      <c r="M13" s="181">
        <v>38</v>
      </c>
      <c r="N13" s="505"/>
      <c r="O13" s="444" t="str">
        <f ca="1">+MID(INDEX(WORLDCUP!$AA$4:$AA$147,MATCH(M13,WORLDCUP!$AH$4:$AH$147,0)),1,3)</f>
        <v>Spa</v>
      </c>
      <c r="P13" s="445" t="str">
        <f>IF(ISBLANK(INDEX(WORLDCUP!$AC$4:$AC$147,MATCH(M13,WORLDCUP!$AH$4:$AH$147,0))),"",INDEX(WORLDCUP!$AC$4:$AC$147,MATCH(M13,WORLDCUP!$AH$4:$AH$147,0)))</f>
        <v/>
      </c>
      <c r="Q13" s="445" t="str">
        <f>IF(ISBLANK(INDEX(WORLDCUP!$AD$4:$AD$147,MATCH(M13,WORLDCUP!$AH$4:$AH$147,0))),"",INDEX(WORLDCUP!$AD$4:$AD$147,MATCH(M13,WORLDCUP!$AH$4:$AH$147,0)))</f>
        <v/>
      </c>
      <c r="R13" s="446" t="str">
        <f ca="1">+MID(INDEX(WORLDCUP!$AF$4:$AF$147,MATCH(M13,WORLDCUP!$AH$4:$AH$147,0)),1,3)</f>
        <v>Sau</v>
      </c>
      <c r="S13" s="467">
        <v>2</v>
      </c>
      <c r="T13" s="468" t="str">
        <f ca="1">+MID(INDEX(WORLDCUP!$AL$6:$AL$97,MATCH(X13,WORLDCUP!$AI$6:$AI$97,0)),1,3)</f>
        <v>Cap</v>
      </c>
      <c r="U13" s="38">
        <f ca="1">+INDEX(WORLDCUP!$AM$6:$AM$97,MATCH(X13,WORLDCUP!$AI$6:$AI$97,0))</f>
        <v>0</v>
      </c>
      <c r="V13" s="39">
        <f ca="1">+INDEX(WORLDCUP!$AT$6:$AT$97,MATCH(X13,WORLDCUP!$AI$6:$AI$97,0))</f>
        <v>0</v>
      </c>
      <c r="W13" s="43" t="str">
        <f ca="1">+INDEX(WORLDCUP!$AR$6:$AR$97,MATCH(X13,WORLDCUP!$AI$6:$AI$97,0))&amp;"-"&amp;INDEX(WORLDCUP!$AS$6:$AS$97,MATCH(X13,WORLDCUP!$AI$6:$AI$97,0))</f>
        <v>0-0</v>
      </c>
      <c r="X13" s="181" t="s">
        <v>682</v>
      </c>
      <c r="Y13" s="181">
        <v>75</v>
      </c>
      <c r="Z13" s="425" t="s">
        <v>667</v>
      </c>
      <c r="AA13" s="480" t="str">
        <f ca="1">+MID(INDEX(WORLDCUP!$AF$101:$AF$147,MATCH(Y13,WORLDCUP!$Z$101:$Z$147,0)),1,3)</f>
        <v>2C</v>
      </c>
      <c r="AB13" s="481" t="str">
        <f>+IF(ISBLANK(INDEX(WORLDCUP!$AD$101:$AD$147,MATCH(Y13,WORLDCUP!$Z$101:$Z$147,0))),"",INDEX(WORLDCUP!$AD$101:$AD$147,MATCH(Y13,WORLDCUP!$Z$101:$Z$147,0)))</f>
        <v/>
      </c>
      <c r="AC13" s="507" t="str">
        <f>+IF(ISBLANK(INDEX(WORLDCUP!$AE$101:$AE$147,MATCH(Y13,WORLDCUP!$Z$101:$Z$147,0))),"","( "&amp;INDEX(WORLDCUP!$AE$101:$AE$147,MATCH(Y13,WORLDCUP!$Z$101:$Z$147,0))&amp;" )")</f>
        <v/>
      </c>
      <c r="AD13" s="181"/>
      <c r="AE13" s="429"/>
      <c r="AF13" s="429"/>
      <c r="AG13" s="429"/>
      <c r="AH13" s="181"/>
      <c r="AI13" s="459"/>
      <c r="AJ13" s="459"/>
      <c r="AK13" s="499"/>
      <c r="AL13" s="500">
        <v>101</v>
      </c>
      <c r="AM13" s="508" t="str">
        <f>+MID(INDEX(WORLDCUP!$AA$101:$AA$147,MATCH(AL13,WORLDCUP!$Z$101:$Z$147,0)),1,3)</f>
        <v>W97</v>
      </c>
      <c r="AN13" s="509" t="str">
        <f>+IF(ISBLANK(INDEX(WORLDCUP!$AC$101:$AC$147,MATCH(AL13,WORLDCUP!$Z$101:$Z$147,0))),"",INDEX(WORLDCUP!$AC$101:$AC$147,MATCH(AL13,WORLDCUP!$Z$101:$Z$147,0)))</f>
        <v/>
      </c>
      <c r="AO13" s="510" t="str">
        <f>+IF(ISBLANK(INDEX(WORLDCUP!$AB$101:$AB$147,MATCH(AL13,WORLDCUP!$Z$101:$Z$147,0))),"","( "&amp;INDEX(WORLDCUP!$AB$101:$AB$147,MATCH(AL13,WORLDCUP!$Z$101:$Z$147,0))&amp;" )")</f>
        <v/>
      </c>
      <c r="AP13" s="181"/>
      <c r="AQ13" s="460"/>
      <c r="AR13" s="460"/>
      <c r="AS13" s="460"/>
      <c r="AT13" s="181"/>
      <c r="AU13" s="433"/>
      <c r="AV13" s="433"/>
      <c r="AW13" s="433"/>
      <c r="AX13" s="181"/>
      <c r="AY13" s="153"/>
      <c r="AZ13" s="153"/>
      <c r="BA13" s="153"/>
      <c r="BB13" s="153"/>
      <c r="BC13" s="153"/>
      <c r="BD13" s="153"/>
      <c r="BE13" s="153"/>
      <c r="BG13" s="462" t="str">
        <f ca="1">Horarios!Q12</f>
        <v>Colombia</v>
      </c>
      <c r="BH13" s="463">
        <f t="shared" ca="1" si="0"/>
        <v>1</v>
      </c>
      <c r="BI13" s="463">
        <f ca="1">COUNTIF(Pool!$C$130:$C$161,Fixture!BG13)-BJ13-BK13-BL13-BM13-BN13-BO13</f>
        <v>0</v>
      </c>
      <c r="BJ13" s="464">
        <f ca="1">COUNTIF(Pool!$C$182:$C$197,Fixture!BG13)-BK13-BL13-BM13-BN13-BO13</f>
        <v>0</v>
      </c>
      <c r="BK13" s="465">
        <f ca="1">COUNTIF(Pool!$C$210:$C$217,Fixture!BG13)-BL13-BM13-BN13-BO13</f>
        <v>0</v>
      </c>
      <c r="BL13" s="465">
        <f ca="1">COUNTIF(Pool!$C$226:$C$229,Fixture!BG13)-BM13-BN13-BO13</f>
        <v>0</v>
      </c>
      <c r="BM13" s="463">
        <f ca="1">COUNTIF(Pool!$C$252,Fixture!BG13)</f>
        <v>0</v>
      </c>
      <c r="BN13" s="463">
        <f ca="1">COUNTIF(Pool!$C$251,Fixture!BG13)</f>
        <v>0</v>
      </c>
      <c r="BO13" s="466">
        <f ca="1">COUNTIF(Pool!$C$250,Fixture!BG13)</f>
        <v>0</v>
      </c>
    </row>
    <row r="14" spans="1:67" x14ac:dyDescent="0.2">
      <c r="A14" s="181">
        <v>27</v>
      </c>
      <c r="B14" s="504"/>
      <c r="C14" s="444" t="str">
        <f ca="1">+MID(INDEX(WORLDCUP!$AA$4:$AA$147,MATCH(A14,WORLDCUP!$AH$4:$AH$147,0)),1,3)</f>
        <v>Can</v>
      </c>
      <c r="D14" s="445" t="str">
        <f>IF(ISBLANK(INDEX(WORLDCUP!$AC$4:$AC$147,MATCH(A14,WORLDCUP!$AH$4:$AH$147,0))),"",INDEX(WORLDCUP!$AC$4:$AC$147,MATCH(A14,WORLDCUP!$AH$4:$AH$147,0)))</f>
        <v/>
      </c>
      <c r="E14" s="445" t="str">
        <f>IF(ISBLANK(INDEX(WORLDCUP!$AD$4:$AD$147,MATCH(A14,WORLDCUP!$AH$4:$AH$147,0))),"",INDEX(WORLDCUP!$AD$4:$AD$147,MATCH(A14,WORLDCUP!$AH$4:$AH$147,0)))</f>
        <v/>
      </c>
      <c r="F14" s="446" t="str">
        <f ca="1">+MID(INDEX(WORLDCUP!$AF$4:$AF$147,MATCH(A14,WORLDCUP!$AH$4:$AH$147,0)),1,3)</f>
        <v>Qat</v>
      </c>
      <c r="G14" s="467">
        <v>3</v>
      </c>
      <c r="H14" s="468" t="str">
        <f ca="1">+MID(INDEX(WORLDCUP!$AL$6:$AL$97,MATCH(L14,WORLDCUP!$AI$6:$AI$97,0)),1,3)</f>
        <v>Qat</v>
      </c>
      <c r="I14" s="38">
        <f ca="1">+INDEX(WORLDCUP!$AM$6:$AM$97,MATCH(L14,WORLDCUP!$AI$6:$AI$97,0))</f>
        <v>0</v>
      </c>
      <c r="J14" s="39">
        <f ca="1">+INDEX(WORLDCUP!$AT$6:$AT$97,MATCH(L14,WORLDCUP!$AI$6:$AI$97,0))</f>
        <v>0</v>
      </c>
      <c r="K14" s="43" t="str">
        <f ca="1">+INDEX(WORLDCUP!$AR$6:$AR$97,MATCH(L14,WORLDCUP!$AI$6:$AI$97,0))&amp;"-"&amp;INDEX(WORLDCUP!$AS$6:$AS$97,MATCH(L14,WORLDCUP!$AI$6:$AI$97,0))</f>
        <v>0-0</v>
      </c>
      <c r="L14" s="181" t="s">
        <v>91</v>
      </c>
      <c r="M14" s="181">
        <v>37</v>
      </c>
      <c r="N14" s="505"/>
      <c r="O14" s="444" t="str">
        <f ca="1">+MID(INDEX(WORLDCUP!$AA$4:$AA$147,MATCH(M14,WORLDCUP!$AH$4:$AH$147,0)),1,3)</f>
        <v>Uru</v>
      </c>
      <c r="P14" s="445" t="str">
        <f>IF(ISBLANK(INDEX(WORLDCUP!$AC$4:$AC$147,MATCH(M14,WORLDCUP!$AH$4:$AH$147,0))),"",INDEX(WORLDCUP!$AC$4:$AC$147,MATCH(M14,WORLDCUP!$AH$4:$AH$147,0)))</f>
        <v/>
      </c>
      <c r="Q14" s="445" t="str">
        <f>IF(ISBLANK(INDEX(WORLDCUP!$AD$4:$AD$147,MATCH(M14,WORLDCUP!$AH$4:$AH$147,0))),"",INDEX(WORLDCUP!$AD$4:$AD$147,MATCH(M14,WORLDCUP!$AH$4:$AH$147,0)))</f>
        <v/>
      </c>
      <c r="R14" s="446" t="str">
        <f ca="1">+MID(INDEX(WORLDCUP!$AF$4:$AF$147,MATCH(M14,WORLDCUP!$AH$4:$AH$147,0)),1,3)</f>
        <v>Cap</v>
      </c>
      <c r="S14" s="467">
        <v>3</v>
      </c>
      <c r="T14" s="468" t="str">
        <f ca="1">+MID(INDEX(WORLDCUP!$AL$6:$AL$97,MATCH(X14,WORLDCUP!$AI$6:$AI$97,0)),1,3)</f>
        <v>Sau</v>
      </c>
      <c r="U14" s="38">
        <f ca="1">+INDEX(WORLDCUP!$AM$6:$AM$97,MATCH(X14,WORLDCUP!$AI$6:$AI$97,0))</f>
        <v>0</v>
      </c>
      <c r="V14" s="39">
        <f ca="1">+INDEX(WORLDCUP!$AT$6:$AT$97,MATCH(X14,WORLDCUP!$AI$6:$AI$97,0))</f>
        <v>0</v>
      </c>
      <c r="W14" s="43" t="str">
        <f ca="1">+INDEX(WORLDCUP!$AR$6:$AR$97,MATCH(X14,WORLDCUP!$AI$6:$AI$97,0))&amp;"-"&amp;INDEX(WORLDCUP!$AS$6:$AS$97,MATCH(X14,WORLDCUP!$AI$6:$AI$97,0))</f>
        <v>0-0</v>
      </c>
      <c r="X14" s="181" t="s">
        <v>446</v>
      </c>
      <c r="Y14" s="181"/>
      <c r="Z14" s="425"/>
      <c r="AA14" s="494"/>
      <c r="AB14" s="494"/>
      <c r="AC14" s="494"/>
      <c r="AD14" s="181"/>
      <c r="AE14" s="429"/>
      <c r="AF14" s="429"/>
      <c r="AG14" s="429"/>
      <c r="AH14" s="181"/>
      <c r="AI14" s="459"/>
      <c r="AJ14" s="459"/>
      <c r="AK14" s="499"/>
      <c r="AL14" s="181">
        <v>101</v>
      </c>
      <c r="AM14" s="508" t="str">
        <f>+MID(INDEX(WORLDCUP!$AF$101:$AF$147,MATCH(AL14,WORLDCUP!$Z$101:$Z$147,0)),1,3)</f>
        <v>W98</v>
      </c>
      <c r="AN14" s="509" t="str">
        <f>+IF(ISBLANK(INDEX(WORLDCUP!$AD$101:$AD$147,MATCH(AL14,WORLDCUP!$Z$101:$Z$147,0))),"",INDEX(WORLDCUP!$AD$101:$AD$147,MATCH(AL14,WORLDCUP!$Z$101:$Z$147,0)))</f>
        <v/>
      </c>
      <c r="AO14" s="511" t="str">
        <f>+IF(ISBLANK(INDEX(WORLDCUP!$AE$101:$AE$147,MATCH(AL14,WORLDCUP!$Z$101:$Z$147,0))),"","( "&amp;INDEX(WORLDCUP!$AE$101:$AE$147,MATCH(AL14,WORLDCUP!$Z$101:$Z$147,0))&amp;" )")</f>
        <v/>
      </c>
      <c r="AP14" s="181"/>
      <c r="AQ14" s="460"/>
      <c r="AR14" s="460"/>
      <c r="AS14" s="460"/>
      <c r="AT14" s="181"/>
      <c r="AU14" s="433"/>
      <c r="AV14" s="433"/>
      <c r="AW14" s="433"/>
      <c r="AX14" s="181"/>
      <c r="AY14" s="153"/>
      <c r="AZ14" s="153"/>
      <c r="BA14" s="153"/>
      <c r="BB14" s="153"/>
      <c r="BC14" s="153"/>
      <c r="BD14" s="153"/>
      <c r="BE14" s="153"/>
      <c r="BG14" s="462" t="str">
        <f ca="1">Horarios!Q13</f>
        <v>Croatia</v>
      </c>
      <c r="BH14" s="463">
        <f t="shared" ca="1" si="0"/>
        <v>1</v>
      </c>
      <c r="BI14" s="463">
        <f ca="1">COUNTIF(Pool!$C$130:$C$161,Fixture!BG14)-BJ14-BK14-BL14-BM14-BN14-BO14</f>
        <v>0</v>
      </c>
      <c r="BJ14" s="464">
        <f ca="1">COUNTIF(Pool!$C$182:$C$197,Fixture!BG14)-BK14-BL14-BM14-BN14-BO14</f>
        <v>0</v>
      </c>
      <c r="BK14" s="465">
        <f ca="1">COUNTIF(Pool!$C$210:$C$217,Fixture!BG14)-BL14-BM14-BN14-BO14</f>
        <v>0</v>
      </c>
      <c r="BL14" s="465">
        <f ca="1">COUNTIF(Pool!$C$226:$C$229,Fixture!BG14)-BM14-BN14-BO14</f>
        <v>0</v>
      </c>
      <c r="BM14" s="463">
        <f ca="1">COUNTIF(Pool!$C$252,Fixture!BG14)</f>
        <v>0</v>
      </c>
      <c r="BN14" s="463">
        <f ca="1">COUNTIF(Pool!$C$251,Fixture!BG14)</f>
        <v>0</v>
      </c>
      <c r="BO14" s="466">
        <f ca="1">COUNTIF(Pool!$C$250,Fixture!BG14)</f>
        <v>0</v>
      </c>
    </row>
    <row r="15" spans="1:67" ht="16" thickBot="1" x14ac:dyDescent="0.25">
      <c r="A15" s="181">
        <v>51</v>
      </c>
      <c r="B15" s="504"/>
      <c r="C15" s="444" t="str">
        <f ca="1">+MID(INDEX(WORLDCUP!$AA$4:$AA$147,MATCH(A15,WORLDCUP!$AH$4:$AH$147,0)),1,3)</f>
        <v>Swi</v>
      </c>
      <c r="D15" s="445" t="str">
        <f>IF(ISBLANK(INDEX(WORLDCUP!$AC$4:$AC$147,MATCH(A15,WORLDCUP!$AH$4:$AH$147,0))),"",INDEX(WORLDCUP!$AC$4:$AC$147,MATCH(A15,WORLDCUP!$AH$4:$AH$147,0)))</f>
        <v/>
      </c>
      <c r="E15" s="445" t="str">
        <f>IF(ISBLANK(INDEX(WORLDCUP!$AD$4:$AD$147,MATCH(A15,WORLDCUP!$AH$4:$AH$147,0))),"",INDEX(WORLDCUP!$AD$4:$AD$147,MATCH(A15,WORLDCUP!$AH$4:$AH$147,0)))</f>
        <v/>
      </c>
      <c r="F15" s="446" t="str">
        <f ca="1">+MID(INDEX(WORLDCUP!$AF$4:$AF$147,MATCH(A15,WORLDCUP!$AH$4:$AH$147,0)),1,3)</f>
        <v>Can</v>
      </c>
      <c r="G15" s="467">
        <v>4</v>
      </c>
      <c r="H15" s="476" t="str">
        <f ca="1">+MID(INDEX(WORLDCUP!$AL$6:$AL$97,MATCH(L15,WORLDCUP!$AI$6:$AI$97,0)),1,3)</f>
        <v>Swi</v>
      </c>
      <c r="I15" s="477">
        <f ca="1">+INDEX(WORLDCUP!$AM$6:$AM$97,MATCH(L15,WORLDCUP!$AI$6:$AI$97,0))</f>
        <v>0</v>
      </c>
      <c r="J15" s="478">
        <f ca="1">+INDEX(WORLDCUP!$AT$6:$AT$97,MATCH(L15,WORLDCUP!$AI$6:$AI$97,0))</f>
        <v>0</v>
      </c>
      <c r="K15" s="479" t="str">
        <f ca="1">+INDEX(WORLDCUP!$AR$6:$AR$97,MATCH(L15,WORLDCUP!$AI$6:$AI$97,0))&amp;"-"&amp;INDEX(WORLDCUP!$AS$6:$AS$97,MATCH(L15,WORLDCUP!$AI$6:$AI$97,0))</f>
        <v>0-0</v>
      </c>
      <c r="L15" s="181" t="s">
        <v>661</v>
      </c>
      <c r="M15" s="181">
        <v>65</v>
      </c>
      <c r="N15" s="505"/>
      <c r="O15" s="444" t="str">
        <f ca="1">+MID(INDEX(WORLDCUP!$AA$4:$AA$147,MATCH(M15,WORLDCUP!$AH$4:$AH$147,0)),1,3)</f>
        <v>Cap</v>
      </c>
      <c r="P15" s="445" t="str">
        <f>IF(ISBLANK(INDEX(WORLDCUP!$AC$4:$AC$147,MATCH(M15,WORLDCUP!$AH$4:$AH$147,0))),"",INDEX(WORLDCUP!$AC$4:$AC$147,MATCH(M15,WORLDCUP!$AH$4:$AH$147,0)))</f>
        <v/>
      </c>
      <c r="Q15" s="445" t="str">
        <f>IF(ISBLANK(INDEX(WORLDCUP!$AD$4:$AD$147,MATCH(M15,WORLDCUP!$AH$4:$AH$147,0))),"",INDEX(WORLDCUP!$AD$4:$AD$147,MATCH(M15,WORLDCUP!$AH$4:$AH$147,0)))</f>
        <v/>
      </c>
      <c r="R15" s="446" t="str">
        <f ca="1">+MID(INDEX(WORLDCUP!$AF$4:$AF$147,MATCH(M15,WORLDCUP!$AH$4:$AH$147,0)),1,3)</f>
        <v>Sau</v>
      </c>
      <c r="S15" s="467">
        <v>4</v>
      </c>
      <c r="T15" s="476" t="str">
        <f ca="1">+MID(INDEX(WORLDCUP!$AL$6:$AL$97,MATCH(X15,WORLDCUP!$AI$6:$AI$97,0)),1,3)</f>
        <v>Uru</v>
      </c>
      <c r="U15" s="477">
        <f ca="1">+INDEX(WORLDCUP!$AM$6:$AM$97,MATCH(X15,WORLDCUP!$AI$6:$AI$97,0))</f>
        <v>0</v>
      </c>
      <c r="V15" s="478">
        <f ca="1">+INDEX(WORLDCUP!$AT$6:$AT$97,MATCH(X15,WORLDCUP!$AI$6:$AI$97,0))</f>
        <v>0</v>
      </c>
      <c r="W15" s="479" t="str">
        <f ca="1">+INDEX(WORLDCUP!$AR$6:$AR$97,MATCH(X15,WORLDCUP!$AI$6:$AI$97,0))&amp;"-"&amp;INDEX(WORLDCUP!$AS$6:$AS$97,MATCH(X15,WORLDCUP!$AI$6:$AI$97,0))</f>
        <v>0-0</v>
      </c>
      <c r="X15" s="181" t="s">
        <v>683</v>
      </c>
      <c r="Y15" s="181">
        <v>83</v>
      </c>
      <c r="Z15" s="425" t="s">
        <v>691</v>
      </c>
      <c r="AA15" s="426" t="str">
        <f ca="1">+MID(INDEX(WORLDCUP!$AA$101:$AA$147,MATCH(Y15,WORLDCUP!$Z$101:$Z$147,0)),1,3)</f>
        <v>2K</v>
      </c>
      <c r="AB15" s="427" t="str">
        <f>+IF(ISBLANK(INDEX(WORLDCUP!$AC$101:$AC$147,MATCH(Y15,WORLDCUP!$Z$101:$Z$147,0))),"",INDEX(WORLDCUP!$AC$101:$AC$147,MATCH(Y15,WORLDCUP!$Z$101:$Z$147,0)))</f>
        <v/>
      </c>
      <c r="AC15" s="498" t="str">
        <f>+IF(ISBLANK(INDEX(WORLDCUP!$AB$101:$AB$147,MATCH(Y15,WORLDCUP!$Z$101:$Z$147,0))),"","( "&amp;INDEX(WORLDCUP!$AB$101:$AB$147,MATCH(Y15,WORLDCUP!$Z$101:$Z$147,0))&amp;" )")</f>
        <v/>
      </c>
      <c r="AD15" s="179"/>
      <c r="AE15" s="429"/>
      <c r="AF15" s="429"/>
      <c r="AG15" s="429"/>
      <c r="AH15" s="181"/>
      <c r="AI15" s="459"/>
      <c r="AJ15" s="459"/>
      <c r="AK15" s="499"/>
      <c r="AL15" s="415"/>
      <c r="AM15" s="431"/>
      <c r="AN15" s="431"/>
      <c r="AO15" s="512"/>
      <c r="AP15" s="415"/>
      <c r="AQ15" s="460"/>
      <c r="AR15" s="460"/>
      <c r="AS15" s="460"/>
      <c r="AT15" s="181"/>
      <c r="AU15" s="433"/>
      <c r="AV15" s="433"/>
      <c r="AW15" s="433"/>
      <c r="AX15" s="181"/>
      <c r="AY15" s="153"/>
      <c r="AZ15" s="153"/>
      <c r="BA15" s="153"/>
      <c r="BB15" s="153"/>
      <c r="BC15" s="153"/>
      <c r="BD15" s="153"/>
      <c r="BE15" s="153"/>
      <c r="BG15" s="462" t="str">
        <f ca="1">Horarios!Q14</f>
        <v>Curaçao</v>
      </c>
      <c r="BH15" s="463">
        <f t="shared" ca="1" si="0"/>
        <v>1</v>
      </c>
      <c r="BI15" s="463">
        <f ca="1">COUNTIF(Pool!$C$130:$C$161,Fixture!BG15)-BJ15-BK15-BL15-BM15-BN15-BO15</f>
        <v>0</v>
      </c>
      <c r="BJ15" s="464">
        <f ca="1">COUNTIF(Pool!$C$182:$C$197,Fixture!BG15)-BK15-BL15-BM15-BN15-BO15</f>
        <v>0</v>
      </c>
      <c r="BK15" s="465">
        <f ca="1">COUNTIF(Pool!$C$210:$C$217,Fixture!BG15)-BL15-BM15-BN15-BO15</f>
        <v>0</v>
      </c>
      <c r="BL15" s="465">
        <f ca="1">COUNTIF(Pool!$C$226:$C$229,Fixture!BG15)-BM15-BN15-BO15</f>
        <v>0</v>
      </c>
      <c r="BM15" s="463">
        <f ca="1">COUNTIF(Pool!$C$252,Fixture!BG15)</f>
        <v>0</v>
      </c>
      <c r="BN15" s="463">
        <f ca="1">COUNTIF(Pool!$C$251,Fixture!BG15)</f>
        <v>0</v>
      </c>
      <c r="BO15" s="466">
        <f ca="1">COUNTIF(Pool!$C$250,Fixture!BG15)</f>
        <v>0</v>
      </c>
    </row>
    <row r="16" spans="1:67" ht="16" thickBot="1" x14ac:dyDescent="0.25">
      <c r="A16" s="181">
        <v>52</v>
      </c>
      <c r="B16" s="513"/>
      <c r="C16" s="487" t="str">
        <f ca="1">+MID(INDEX(WORLDCUP!$AA$4:$AA$147,MATCH(A16,WORLDCUP!$AH$4:$AH$147,0)),1,3)</f>
        <v>Bos</v>
      </c>
      <c r="D16" s="488" t="str">
        <f>IF(ISBLANK(INDEX(WORLDCUP!$AC$4:$AC$147,MATCH(A16,WORLDCUP!$AH$4:$AH$147,0))),"",INDEX(WORLDCUP!$AC$4:$AC$147,MATCH(A16,WORLDCUP!$AH$4:$AH$147,0)))</f>
        <v/>
      </c>
      <c r="E16" s="488" t="str">
        <f>IF(ISBLANK(INDEX(WORLDCUP!$AD$4:$AD$147,MATCH(A16,WORLDCUP!$AH$4:$AH$147,0))),"",INDEX(WORLDCUP!$AD$4:$AD$147,MATCH(A16,WORLDCUP!$AH$4:$AH$147,0)))</f>
        <v/>
      </c>
      <c r="F16" s="489" t="str">
        <f ca="1">+MID(INDEX(WORLDCUP!$AF$4:$AF$147,MATCH(A16,WORLDCUP!$AH$4:$AH$147,0)),1,3)</f>
        <v>Qat</v>
      </c>
      <c r="G16" s="490"/>
      <c r="H16" s="490"/>
      <c r="I16" s="491"/>
      <c r="J16" s="491"/>
      <c r="K16" s="492"/>
      <c r="L16" s="181"/>
      <c r="M16" s="181">
        <v>66</v>
      </c>
      <c r="N16" s="514"/>
      <c r="O16" s="487" t="str">
        <f ca="1">+MID(INDEX(WORLDCUP!$AA$4:$AA$147,MATCH(M16,WORLDCUP!$AH$4:$AH$147,0)),1,3)</f>
        <v>Uru</v>
      </c>
      <c r="P16" s="488" t="str">
        <f>IF(ISBLANK(INDEX(WORLDCUP!$AC$4:$AC$147,MATCH(M16,WORLDCUP!$AH$4:$AH$147,0))),"",INDEX(WORLDCUP!$AC$4:$AC$147,MATCH(M16,WORLDCUP!$AH$4:$AH$147,0)))</f>
        <v/>
      </c>
      <c r="Q16" s="488" t="str">
        <f>IF(ISBLANK(INDEX(WORLDCUP!$AD$4:$AD$147,MATCH(M16,WORLDCUP!$AH$4:$AH$147,0))),"",INDEX(WORLDCUP!$AD$4:$AD$147,MATCH(M16,WORLDCUP!$AH$4:$AH$147,0)))</f>
        <v/>
      </c>
      <c r="R16" s="489" t="str">
        <f ca="1">+MID(INDEX(WORLDCUP!$AF$4:$AF$147,MATCH(M16,WORLDCUP!$AH$4:$AH$147,0)),1,3)</f>
        <v>Spa</v>
      </c>
      <c r="S16" s="490"/>
      <c r="T16" s="490"/>
      <c r="U16" s="491"/>
      <c r="V16" s="491"/>
      <c r="W16" s="492"/>
      <c r="X16" s="181"/>
      <c r="Y16" s="181">
        <v>83</v>
      </c>
      <c r="Z16" s="425" t="s">
        <v>694</v>
      </c>
      <c r="AA16" s="426" t="str">
        <f ca="1">+MID(INDEX(WORLDCUP!$AF$101:$AF$147,MATCH(Y16,WORLDCUP!$Z$101:$Z$147,0)),1,3)</f>
        <v>2L</v>
      </c>
      <c r="AB16" s="453" t="str">
        <f>+IF(ISBLANK(INDEX(WORLDCUP!$AD$101:$AD$147,MATCH(Y16,WORLDCUP!$Z$101:$Z$147,0))),"",INDEX(WORLDCUP!$AD$101:$AD$147,MATCH(Y16,WORLDCUP!$Z$101:$Z$147,0)))</f>
        <v/>
      </c>
      <c r="AC16" s="454" t="str">
        <f>+IF(ISBLANK(INDEX(WORLDCUP!$AE$101:$AE$147,MATCH(Y16,WORLDCUP!$Z$101:$Z$147,0))),"","( "&amp;INDEX(WORLDCUP!$AE$101:$AE$147,MATCH(Y16,WORLDCUP!$Z$101:$Z$147,0))&amp;" )")</f>
        <v/>
      </c>
      <c r="AD16" s="455">
        <v>93</v>
      </c>
      <c r="AE16" s="456" t="str">
        <f>+MID(INDEX(WORLDCUP!$AA$101:$AA$147,MATCH(AD16,WORLDCUP!$Z$101:$Z$147,0)),1,3)</f>
        <v>W83</v>
      </c>
      <c r="AF16" s="457" t="str">
        <f>+IF(ISBLANK(INDEX(WORLDCUP!$AC$101:$AC$147,MATCH(AD16,WORLDCUP!$Z$101:$Z$147,0))),"",INDEX(WORLDCUP!$AC$101:$AC$147,MATCH(AD16,WORLDCUP!$Z$101:$Z$147,0)))</f>
        <v/>
      </c>
      <c r="AG16" s="458" t="str">
        <f>+IF(ISBLANK(INDEX(WORLDCUP!$AB$101:$AB$147,MATCH(AD16,WORLDCUP!$Z$101:$Z$147,0))),"","( "&amp;INDEX(WORLDCUP!$AB$101:$AB$147,MATCH(AD16,WORLDCUP!$Z$101:$Z$147,0))&amp;" )")</f>
        <v/>
      </c>
      <c r="AH16" s="181"/>
      <c r="AI16" s="459"/>
      <c r="AJ16" s="459"/>
      <c r="AK16" s="499"/>
      <c r="AL16" s="181"/>
      <c r="AM16" s="431"/>
      <c r="AN16" s="431"/>
      <c r="AO16" s="512"/>
      <c r="AP16" s="415"/>
      <c r="AQ16" s="460"/>
      <c r="AR16" s="460"/>
      <c r="AS16" s="460"/>
      <c r="AT16" s="181"/>
      <c r="AU16" s="433"/>
      <c r="AV16" s="433"/>
      <c r="AW16" s="433"/>
      <c r="AX16" s="181"/>
      <c r="AY16" s="153"/>
      <c r="AZ16" s="153"/>
      <c r="BA16" s="153"/>
      <c r="BB16" s="153"/>
      <c r="BC16" s="153"/>
      <c r="BD16" s="153"/>
      <c r="BE16" s="153"/>
      <c r="BG16" s="462" t="str">
        <f ca="1">Horarios!Q15</f>
        <v>Czech Republic</v>
      </c>
      <c r="BH16" s="463">
        <f t="shared" ca="1" si="0"/>
        <v>1</v>
      </c>
      <c r="BI16" s="463">
        <f ca="1">COUNTIF(Pool!$C$130:$C$161,Fixture!BG16)-BJ16-BK16-BL16-BM16-BN16-BO16</f>
        <v>0</v>
      </c>
      <c r="BJ16" s="464">
        <f ca="1">COUNTIF(Pool!$C$182:$C$197,Fixture!BG16)-BK16-BL16-BM16-BN16-BO16</f>
        <v>0</v>
      </c>
      <c r="BK16" s="465">
        <f ca="1">COUNTIF(Pool!$C$210:$C$217,Fixture!BG16)-BL16-BM16-BN16-BO16</f>
        <v>0</v>
      </c>
      <c r="BL16" s="465">
        <f ca="1">COUNTIF(Pool!$C$226:$C$229,Fixture!BG16)-BM16-BN16-BO16</f>
        <v>0</v>
      </c>
      <c r="BM16" s="463">
        <f ca="1">COUNTIF(Pool!$C$252,Fixture!BG16)</f>
        <v>0</v>
      </c>
      <c r="BN16" s="463">
        <f ca="1">COUNTIF(Pool!$C$251,Fixture!BG16)</f>
        <v>0</v>
      </c>
      <c r="BO16" s="466">
        <f ca="1">COUNTIF(Pool!$C$250,Fixture!BG16)</f>
        <v>0</v>
      </c>
    </row>
    <row r="17" spans="1:67" x14ac:dyDescent="0.2">
      <c r="A17" s="181"/>
      <c r="B17" s="411"/>
      <c r="C17" s="496"/>
      <c r="D17" s="497"/>
      <c r="E17" s="497"/>
      <c r="F17" s="153"/>
      <c r="G17" s="153"/>
      <c r="H17" s="496"/>
      <c r="I17" s="153"/>
      <c r="J17" s="153"/>
      <c r="K17" s="153"/>
      <c r="L17" s="181"/>
      <c r="M17" s="181"/>
      <c r="N17" s="151"/>
      <c r="O17" s="496"/>
      <c r="P17" s="497"/>
      <c r="Q17" s="497"/>
      <c r="R17" s="153"/>
      <c r="S17" s="153"/>
      <c r="T17" s="496"/>
      <c r="U17" s="153"/>
      <c r="V17" s="153"/>
      <c r="W17" s="153"/>
      <c r="X17" s="181"/>
      <c r="Y17" s="181"/>
      <c r="Z17" s="425"/>
      <c r="AA17" s="469"/>
      <c r="AB17" s="469"/>
      <c r="AC17" s="470"/>
      <c r="AD17" s="181">
        <v>93</v>
      </c>
      <c r="AE17" s="456" t="str">
        <f>+MID(INDEX(WORLDCUP!$AF$101:$AF$147,MATCH(AD17,WORLDCUP!$Z$101:$Z$147,0)),1,3)</f>
        <v>W84</v>
      </c>
      <c r="AF17" s="457" t="str">
        <f>+IF(ISBLANK(INDEX(WORLDCUP!$AD$101:$AD$147,MATCH(AD17,WORLDCUP!$Z$101:$Z$147,0))),"",INDEX(WORLDCUP!$AD$101:$AD$147,MATCH(AD17,WORLDCUP!$Z$101:$Z$147,0)))</f>
        <v/>
      </c>
      <c r="AG17" s="515" t="str">
        <f>+IF(ISBLANK(INDEX(WORLDCUP!$AE$101:$AE$147,MATCH(AD17,WORLDCUP!$Z$101:$Z$147,0))),"","( "&amp;INDEX(WORLDCUP!$AE$101:$AE$147,MATCH(AD17,WORLDCUP!$Z$101:$Z$147,0))&amp;" )")</f>
        <v/>
      </c>
      <c r="AH17" s="181"/>
      <c r="AI17" s="459"/>
      <c r="AJ17" s="459"/>
      <c r="AK17" s="499"/>
      <c r="AL17" s="181"/>
      <c r="AM17" s="431"/>
      <c r="AN17" s="431"/>
      <c r="AO17" s="512"/>
      <c r="AP17" s="415"/>
      <c r="AQ17" s="460"/>
      <c r="AR17" s="460"/>
      <c r="AS17" s="460"/>
      <c r="AT17" s="181"/>
      <c r="AU17" s="433"/>
      <c r="AV17" s="433"/>
      <c r="AW17" s="433"/>
      <c r="AX17" s="181"/>
      <c r="AY17" s="153"/>
      <c r="AZ17" s="153"/>
      <c r="BA17" s="153"/>
      <c r="BB17" s="153"/>
      <c r="BC17" s="153"/>
      <c r="BD17" s="153"/>
      <c r="BE17" s="153"/>
      <c r="BG17" s="462" t="str">
        <f ca="1">Horarios!Q16</f>
        <v>DR Congo</v>
      </c>
      <c r="BH17" s="463">
        <f t="shared" ca="1" si="0"/>
        <v>1</v>
      </c>
      <c r="BI17" s="463">
        <f ca="1">COUNTIF(Pool!$C$130:$C$161,Fixture!BG17)-BJ17-BK17-BL17-BM17-BN17-BO17</f>
        <v>0</v>
      </c>
      <c r="BJ17" s="464">
        <f ca="1">COUNTIF(Pool!$C$182:$C$197,Fixture!BG17)-BK17-BL17-BM17-BN17-BO17</f>
        <v>0</v>
      </c>
      <c r="BK17" s="465">
        <f ca="1">COUNTIF(Pool!$C$210:$C$217,Fixture!BG17)-BL17-BM17-BN17-BO17</f>
        <v>0</v>
      </c>
      <c r="BL17" s="465">
        <f ca="1">COUNTIF(Pool!$C$226:$C$229,Fixture!BG17)-BM17-BN17-BO17</f>
        <v>0</v>
      </c>
      <c r="BM17" s="463">
        <f ca="1">COUNTIF(Pool!$C$252,Fixture!BG17)</f>
        <v>0</v>
      </c>
      <c r="BN17" s="463">
        <f ca="1">COUNTIF(Pool!$C$251,Fixture!BG17)</f>
        <v>0</v>
      </c>
      <c r="BO17" s="466">
        <f ca="1">COUNTIF(Pool!$C$250,Fixture!BG17)</f>
        <v>0</v>
      </c>
    </row>
    <row r="18" spans="1:67" ht="16" thickBot="1" x14ac:dyDescent="0.25">
      <c r="A18" s="181"/>
      <c r="B18" s="411"/>
      <c r="C18" s="496"/>
      <c r="D18" s="497"/>
      <c r="E18" s="497"/>
      <c r="F18" s="153"/>
      <c r="G18" s="153"/>
      <c r="H18" s="496"/>
      <c r="I18" s="153"/>
      <c r="J18" s="153"/>
      <c r="K18" s="153"/>
      <c r="L18" s="181"/>
      <c r="M18" s="181"/>
      <c r="N18" s="151"/>
      <c r="O18" s="496"/>
      <c r="P18" s="497"/>
      <c r="Q18" s="497"/>
      <c r="R18" s="153"/>
      <c r="S18" s="153"/>
      <c r="T18" s="496"/>
      <c r="U18" s="153"/>
      <c r="V18" s="153"/>
      <c r="W18" s="153"/>
      <c r="X18" s="181"/>
      <c r="Y18" s="181">
        <v>84</v>
      </c>
      <c r="Z18" s="425" t="s">
        <v>681</v>
      </c>
      <c r="AA18" s="426" t="str">
        <f ca="1">+MID(INDEX(WORLDCUP!$AA$101:$AA$147,MATCH(Y18,WORLDCUP!$Z$101:$Z$147,0)),1,3)</f>
        <v>1H</v>
      </c>
      <c r="AB18" s="472" t="str">
        <f>+IF(ISBLANK(INDEX(WORLDCUP!$AC$101:$AC$147,MATCH(Y18,WORLDCUP!$Z$101:$Z$147,0))),"",INDEX(WORLDCUP!$AC$101:$AC$147,MATCH(Y18,WORLDCUP!$Z$101:$Z$147,0)))</f>
        <v/>
      </c>
      <c r="AC18" s="506" t="str">
        <f>+IF(ISBLANK(INDEX(WORLDCUP!$AB$101:$AB$147,MATCH(Y18,WORLDCUP!$Z$101:$Z$147,0))),"","( "&amp;INDEX(WORLDCUP!$AB$101:$AB$147,MATCH(Y18,WORLDCUP!$Z$101:$Z$147,0))&amp;" )")</f>
        <v/>
      </c>
      <c r="AD18" s="181"/>
      <c r="AE18" s="474"/>
      <c r="AF18" s="474"/>
      <c r="AG18" s="475"/>
      <c r="AH18" s="181"/>
      <c r="AI18" s="459"/>
      <c r="AJ18" s="459"/>
      <c r="AK18" s="499"/>
      <c r="AL18" s="181"/>
      <c r="AM18" s="431"/>
      <c r="AN18" s="431"/>
      <c r="AO18" s="512"/>
      <c r="AP18" s="415"/>
      <c r="AQ18" s="460"/>
      <c r="AR18" s="460"/>
      <c r="AS18" s="460"/>
      <c r="AT18" s="181"/>
      <c r="AU18" s="433"/>
      <c r="AV18" s="433"/>
      <c r="AW18" s="433"/>
      <c r="AX18" s="516" t="str">
        <f>Idiomas!D8</f>
        <v>XXIII World Cup USA/MEX/CAN 2026</v>
      </c>
      <c r="AY18" s="516"/>
      <c r="AZ18" s="517"/>
      <c r="BA18" s="517"/>
      <c r="BB18" s="517"/>
      <c r="BC18" s="517"/>
      <c r="BD18" s="517"/>
      <c r="BE18" s="517"/>
      <c r="BG18" s="462" t="str">
        <f ca="1">Horarios!Q17</f>
        <v>Ecuador</v>
      </c>
      <c r="BH18" s="463">
        <f t="shared" ca="1" si="0"/>
        <v>1</v>
      </c>
      <c r="BI18" s="463">
        <f ca="1">COUNTIF(Pool!$C$130:$C$161,Fixture!BG18)-BJ18-BK18-BL18-BM18-BN18-BO18</f>
        <v>0</v>
      </c>
      <c r="BJ18" s="464">
        <f ca="1">COUNTIF(Pool!$C$182:$C$197,Fixture!BG18)-BK18-BL18-BM18-BN18-BO18</f>
        <v>0</v>
      </c>
      <c r="BK18" s="465">
        <f ca="1">COUNTIF(Pool!$C$210:$C$217,Fixture!BG18)-BL18-BM18-BN18-BO18</f>
        <v>0</v>
      </c>
      <c r="BL18" s="465">
        <f ca="1">COUNTIF(Pool!$C$226:$C$229,Fixture!BG18)-BM18-BN18-BO18</f>
        <v>0</v>
      </c>
      <c r="BM18" s="463">
        <f ca="1">COUNTIF(Pool!$C$252,Fixture!BG18)</f>
        <v>0</v>
      </c>
      <c r="BN18" s="463">
        <f ca="1">COUNTIF(Pool!$C$251,Fixture!BG18)</f>
        <v>0</v>
      </c>
      <c r="BO18" s="466">
        <f ca="1">COUNTIF(Pool!$C$250,Fixture!BG18)</f>
        <v>0</v>
      </c>
    </row>
    <row r="19" spans="1:67" ht="16" thickBot="1" x14ac:dyDescent="0.25">
      <c r="A19" s="181">
        <v>7</v>
      </c>
      <c r="B19" s="518" t="s">
        <v>2</v>
      </c>
      <c r="C19" s="417" t="str">
        <f ca="1">+MID(INDEX(WORLDCUP!$AA$4:$AA$147,MATCH(A19,WORLDCUP!$AH$4:$AH$147,0)),1,3)</f>
        <v>Bra</v>
      </c>
      <c r="D19" s="418" t="str">
        <f>IF(ISBLANK(INDEX(WORLDCUP!$AC$4:$AC$147,MATCH(A19,WORLDCUP!$AH$4:$AH$147,0))),"",INDEX(WORLDCUP!$AC$4:$AC$147,MATCH(A19,WORLDCUP!$AH$4:$AH$147,0)))</f>
        <v/>
      </c>
      <c r="E19" s="418" t="str">
        <f>IF(ISBLANK(INDEX(WORLDCUP!$AD$4:$AD$147,MATCH(A19,WORLDCUP!$AH$4:$AH$147,0))),"",INDEX(WORLDCUP!$AD$4:$AD$147,MATCH(A19,WORLDCUP!$AH$4:$AH$147,0)))</f>
        <v/>
      </c>
      <c r="F19" s="419" t="str">
        <f ca="1">+MID(INDEX(WORLDCUP!$AF$4:$AF$147,MATCH(A19,WORLDCUP!$AH$4:$AH$147,0)),1,3)</f>
        <v>Mor</v>
      </c>
      <c r="G19" s="420"/>
      <c r="H19" s="421" t="str">
        <f>+H11</f>
        <v>Nat</v>
      </c>
      <c r="I19" s="422" t="str">
        <f>+I11</f>
        <v>Pts</v>
      </c>
      <c r="J19" s="422" t="str">
        <f>+J11</f>
        <v>GD</v>
      </c>
      <c r="K19" s="423" t="str">
        <f>+K11</f>
        <v>F-A</v>
      </c>
      <c r="L19" s="181"/>
      <c r="M19" s="181">
        <v>17</v>
      </c>
      <c r="N19" s="519" t="s">
        <v>448</v>
      </c>
      <c r="O19" s="417" t="str">
        <f ca="1">+MID(INDEX(WORLDCUP!$AA$4:$AA$147,MATCH(M19,WORLDCUP!$AH$4:$AH$147,0)),1,3)</f>
        <v>Fra</v>
      </c>
      <c r="P19" s="418" t="str">
        <f>IF(ISBLANK(INDEX(WORLDCUP!$AC$4:$AC$147,MATCH(M19,WORLDCUP!$AH$4:$AH$147,0))),"",INDEX(WORLDCUP!$AC$4:$AC$147,MATCH(M19,WORLDCUP!$AH$4:$AH$147,0)))</f>
        <v/>
      </c>
      <c r="Q19" s="418" t="str">
        <f>IF(ISBLANK(INDEX(WORLDCUP!$AD$4:$AD$147,MATCH(M19,WORLDCUP!$AH$4:$AH$147,0))),"",INDEX(WORLDCUP!$AD$4:$AD$147,MATCH(M19,WORLDCUP!$AH$4:$AH$147,0)))</f>
        <v/>
      </c>
      <c r="R19" s="419" t="str">
        <f ca="1">+MID(INDEX(WORLDCUP!$AF$4:$AF$147,MATCH(M19,WORLDCUP!$AH$4:$AH$147,0)),1,3)</f>
        <v>Sen</v>
      </c>
      <c r="S19" s="420"/>
      <c r="T19" s="421" t="str">
        <f>+T11</f>
        <v>Nat</v>
      </c>
      <c r="U19" s="422" t="str">
        <f>+U11</f>
        <v>Pts</v>
      </c>
      <c r="V19" s="422" t="str">
        <f>+V11</f>
        <v>GD</v>
      </c>
      <c r="W19" s="423" t="str">
        <f>+W11</f>
        <v>F-A</v>
      </c>
      <c r="X19" s="181"/>
      <c r="Y19" s="181">
        <v>84</v>
      </c>
      <c r="Z19" s="425" t="s">
        <v>688</v>
      </c>
      <c r="AA19" s="480" t="str">
        <f ca="1">+MID(INDEX(WORLDCUP!$AF$101:$AF$147,MATCH(Y19,WORLDCUP!$Z$101:$Z$147,0)),1,3)</f>
        <v>2J</v>
      </c>
      <c r="AB19" s="481" t="str">
        <f>+IF(ISBLANK(INDEX(WORLDCUP!$AD$101:$AD$147,MATCH(Y19,WORLDCUP!$Z$101:$Z$147,0))),"",INDEX(WORLDCUP!$AD$101:$AD$147,MATCH(Y19,WORLDCUP!$Z$101:$Z$147,0)))</f>
        <v/>
      </c>
      <c r="AC19" s="507" t="str">
        <f>+IF(ISBLANK(INDEX(WORLDCUP!$AE$101:$AE$147,MATCH(Y19,WORLDCUP!$Z$101:$Z$147,0))),"","( "&amp;INDEX(WORLDCUP!$AE$101:$AE$147,MATCH(Y19,WORLDCUP!$Z$101:$Z$147,0))&amp;" )")</f>
        <v/>
      </c>
      <c r="AD19" s="181"/>
      <c r="AE19" s="474"/>
      <c r="AF19" s="474"/>
      <c r="AG19" s="475"/>
      <c r="AH19" s="500">
        <v>98</v>
      </c>
      <c r="AI19" s="483" t="str">
        <f>+MID(INDEX(WORLDCUP!$AA$101:$AA$147,MATCH(AH19,WORLDCUP!$Z$101:$Z$147,0)),1,3)</f>
        <v>W93</v>
      </c>
      <c r="AJ19" s="484" t="str">
        <f>+IF(ISBLANK(INDEX(WORLDCUP!$AC$101:$AC$147,MATCH(AH19,WORLDCUP!$Z$101:$Z$147,0))),"",INDEX(WORLDCUP!$AC$101:$AC$147,MATCH(AH19,WORLDCUP!$Z$101:$Z$147,0)))</f>
        <v/>
      </c>
      <c r="AK19" s="520" t="str">
        <f>+IF(ISBLANK(INDEX(WORLDCUP!$AB$101:$AB$147,MATCH(AH19,WORLDCUP!$Z$101:$Z$147,0))),"","( "&amp;INDEX(WORLDCUP!$AB$101:$AB$147,MATCH(AH19,WORLDCUP!$Z$101:$Z$147,0))&amp;" )")</f>
        <v/>
      </c>
      <c r="AL19" s="181"/>
      <c r="AM19" s="431"/>
      <c r="AN19" s="431"/>
      <c r="AO19" s="512"/>
      <c r="AP19" s="415"/>
      <c r="AQ19" s="460"/>
      <c r="AR19" s="460"/>
      <c r="AS19" s="460"/>
      <c r="AT19" s="181"/>
      <c r="AU19" s="433"/>
      <c r="AV19" s="433"/>
      <c r="AW19" s="433"/>
      <c r="AX19" s="181"/>
      <c r="AY19" s="153"/>
      <c r="AZ19" s="153"/>
      <c r="BA19" s="153"/>
      <c r="BB19" s="153"/>
      <c r="BC19" s="153"/>
      <c r="BD19" s="153"/>
      <c r="BE19" s="153"/>
      <c r="BG19" s="462" t="str">
        <f ca="1">Horarios!Q18</f>
        <v>Egypt</v>
      </c>
      <c r="BH19" s="463">
        <f t="shared" ca="1" si="0"/>
        <v>1</v>
      </c>
      <c r="BI19" s="463">
        <f ca="1">COUNTIF(Pool!$C$130:$C$161,Fixture!BG19)-BJ19-BK19-BL19-BM19-BN19-BO19</f>
        <v>0</v>
      </c>
      <c r="BJ19" s="464">
        <f ca="1">COUNTIF(Pool!$C$182:$C$197,Fixture!BG19)-BK19-BL19-BM19-BN19-BO19</f>
        <v>0</v>
      </c>
      <c r="BK19" s="465">
        <f ca="1">COUNTIF(Pool!$C$210:$C$217,Fixture!BG19)-BL19-BM19-BN19-BO19</f>
        <v>0</v>
      </c>
      <c r="BL19" s="465">
        <f ca="1">COUNTIF(Pool!$C$226:$C$229,Fixture!BG19)-BM19-BN19-BO19</f>
        <v>0</v>
      </c>
      <c r="BM19" s="463">
        <f ca="1">COUNTIF(Pool!$C$252,Fixture!BG19)</f>
        <v>0</v>
      </c>
      <c r="BN19" s="463">
        <f ca="1">COUNTIF(Pool!$C$251,Fixture!BG19)</f>
        <v>0</v>
      </c>
      <c r="BO19" s="466">
        <f ca="1">COUNTIF(Pool!$C$250,Fixture!BG19)</f>
        <v>0</v>
      </c>
    </row>
    <row r="20" spans="1:67" x14ac:dyDescent="0.2">
      <c r="A20" s="181">
        <v>5</v>
      </c>
      <c r="B20" s="521"/>
      <c r="C20" s="444" t="str">
        <f ca="1">+MID(INDEX(WORLDCUP!$AA$4:$AA$147,MATCH(A20,WORLDCUP!$AH$4:$AH$147,0)),1,3)</f>
        <v>Hai</v>
      </c>
      <c r="D20" s="445" t="str">
        <f>IF(ISBLANK(INDEX(WORLDCUP!$AC$4:$AC$147,MATCH(A20,WORLDCUP!$AH$4:$AH$147,0))),"",INDEX(WORLDCUP!$AC$4:$AC$147,MATCH(A20,WORLDCUP!$AH$4:$AH$147,0)))</f>
        <v/>
      </c>
      <c r="E20" s="445" t="str">
        <f>IF(ISBLANK(INDEX(WORLDCUP!$AD$4:$AD$147,MATCH(A20,WORLDCUP!$AH$4:$AH$147,0))),"",INDEX(WORLDCUP!$AD$4:$AD$147,MATCH(A20,WORLDCUP!$AH$4:$AH$147,0)))</f>
        <v/>
      </c>
      <c r="F20" s="446" t="str">
        <f ca="1">+MID(INDEX(WORLDCUP!$AF$4:$AF$147,MATCH(A20,WORLDCUP!$AH$4:$AH$147,0)),1,3)</f>
        <v>Sco</v>
      </c>
      <c r="G20" s="447">
        <v>1</v>
      </c>
      <c r="H20" s="448" t="str">
        <f ca="1">+MID(INDEX(WORLDCUP!$AL$6:$AL$97,MATCH(L20,WORLDCUP!$AI$6:$AI$97,0)),1,3)</f>
        <v>Bra</v>
      </c>
      <c r="I20" s="449">
        <f ca="1">+INDEX(WORLDCUP!$AM$6:$AM$97,MATCH(L20,WORLDCUP!$AI$6:$AI$97,0))</f>
        <v>0</v>
      </c>
      <c r="J20" s="450">
        <f ca="1">+INDEX(WORLDCUP!$AT$6:$AT$97,MATCH(L20,WORLDCUP!$AI$6:$AI$97,0))</f>
        <v>0</v>
      </c>
      <c r="K20" s="451" t="str">
        <f ca="1">+INDEX(WORLDCUP!$AR$6:$AR$97,MATCH(L20,WORLDCUP!$AI$6:$AI$97,0))&amp;"-"&amp;INDEX(WORLDCUP!$AS$6:$AS$97,MATCH(L20,WORLDCUP!$AI$6:$AI$97,0))</f>
        <v>0-0</v>
      </c>
      <c r="L20" s="181" t="s">
        <v>662</v>
      </c>
      <c r="M20" s="181">
        <v>18</v>
      </c>
      <c r="N20" s="522"/>
      <c r="O20" s="444" t="str">
        <f ca="1">+MID(INDEX(WORLDCUP!$AA$4:$AA$147,MATCH(M20,WORLDCUP!$AH$4:$AH$147,0)),1,3)</f>
        <v>Ira</v>
      </c>
      <c r="P20" s="445" t="str">
        <f>IF(ISBLANK(INDEX(WORLDCUP!$AC$4:$AC$147,MATCH(M20,WORLDCUP!$AH$4:$AH$147,0))),"",INDEX(WORLDCUP!$AC$4:$AC$147,MATCH(M20,WORLDCUP!$AH$4:$AH$147,0)))</f>
        <v/>
      </c>
      <c r="Q20" s="445" t="str">
        <f>IF(ISBLANK(INDEX(WORLDCUP!$AD$4:$AD$147,MATCH(M20,WORLDCUP!$AH$4:$AH$147,0))),"",INDEX(WORLDCUP!$AD$4:$AD$147,MATCH(M20,WORLDCUP!$AH$4:$AH$147,0)))</f>
        <v/>
      </c>
      <c r="R20" s="446" t="str">
        <f ca="1">+MID(INDEX(WORLDCUP!$AF$4:$AF$147,MATCH(M20,WORLDCUP!$AH$4:$AH$147,0)),1,3)</f>
        <v>Nor</v>
      </c>
      <c r="S20" s="447">
        <v>1</v>
      </c>
      <c r="T20" s="448" t="str">
        <f ca="1">+MID(INDEX(WORLDCUP!$AL$6:$AL$97,MATCH(X20,WORLDCUP!$AI$6:$AI$97,0)),1,3)</f>
        <v>Fra</v>
      </c>
      <c r="U20" s="449">
        <f ca="1">+INDEX(WORLDCUP!$AM$6:$AM$97,MATCH(X20,WORLDCUP!$AI$6:$AI$97,0))</f>
        <v>0</v>
      </c>
      <c r="V20" s="450">
        <f ca="1">+INDEX(WORLDCUP!$AT$6:$AT$97,MATCH(X20,WORLDCUP!$AI$6:$AI$97,0))</f>
        <v>0</v>
      </c>
      <c r="W20" s="451" t="str">
        <f ca="1">+INDEX(WORLDCUP!$AR$6:$AR$97,MATCH(X20,WORLDCUP!$AI$6:$AI$97,0))&amp;"-"&amp;INDEX(WORLDCUP!$AS$6:$AS$97,MATCH(X20,WORLDCUP!$AI$6:$AI$97,0))</f>
        <v>0-0</v>
      </c>
      <c r="X20" s="181" t="s">
        <v>684</v>
      </c>
      <c r="Y20" s="181"/>
      <c r="Z20" s="425"/>
      <c r="AA20" s="494"/>
      <c r="AB20" s="494"/>
      <c r="AC20" s="494"/>
      <c r="AD20" s="181"/>
      <c r="AE20" s="429"/>
      <c r="AF20" s="429"/>
      <c r="AG20" s="475"/>
      <c r="AH20" s="181">
        <v>98</v>
      </c>
      <c r="AI20" s="483" t="str">
        <f>+MID(INDEX(WORLDCUP!$AF$101:$AF$147,MATCH(AH20,WORLDCUP!$Z$101:$Z$147,0)),1,3)</f>
        <v>W94</v>
      </c>
      <c r="AJ20" s="484" t="str">
        <f>+IF(ISBLANK(INDEX(WORLDCUP!$AD$101:$AD$147,MATCH(AH20,WORLDCUP!$Z$101:$Z$147,0))),"",INDEX(WORLDCUP!$AD$101:$AD$147,MATCH(AH20,WORLDCUP!$Z$101:$Z$147,0)))</f>
        <v/>
      </c>
      <c r="AK20" s="459" t="str">
        <f>+IF(ISBLANK(INDEX(WORLDCUP!$AE$101:$AE$147,MATCH(AH20,WORLDCUP!$Z$101:$Z$147,0))),"","( "&amp;INDEX(WORLDCUP!$AE$101:$AE$147,MATCH(AH20,WORLDCUP!$Z$101:$Z$147,0))&amp;" )")</f>
        <v/>
      </c>
      <c r="AL20" s="181"/>
      <c r="AM20" s="431"/>
      <c r="AN20" s="431"/>
      <c r="AO20" s="512"/>
      <c r="AP20" s="181"/>
      <c r="AQ20" s="460"/>
      <c r="AR20" s="460"/>
      <c r="AS20" s="460"/>
      <c r="AT20" s="181"/>
      <c r="AU20" s="523"/>
      <c r="AV20" s="359"/>
      <c r="AW20" s="433"/>
      <c r="AX20" s="181"/>
      <c r="AY20" s="524"/>
      <c r="AZ20" s="525"/>
      <c r="BA20" s="525"/>
      <c r="BB20" s="525"/>
      <c r="BC20" s="526"/>
      <c r="BD20" s="153"/>
      <c r="BE20" s="153"/>
      <c r="BG20" s="462" t="str">
        <f ca="1">Horarios!Q19</f>
        <v>England</v>
      </c>
      <c r="BH20" s="463">
        <f t="shared" ca="1" si="0"/>
        <v>1</v>
      </c>
      <c r="BI20" s="463">
        <f ca="1">COUNTIF(Pool!$C$130:$C$161,Fixture!BG20)-BJ20-BK20-BL20-BM20-BN20-BO20</f>
        <v>0</v>
      </c>
      <c r="BJ20" s="464">
        <f ca="1">COUNTIF(Pool!$C$182:$C$197,Fixture!BG20)-BK20-BL20-BM20-BN20-BO20</f>
        <v>0</v>
      </c>
      <c r="BK20" s="465">
        <f ca="1">COUNTIF(Pool!$C$210:$C$217,Fixture!BG20)-BL20-BM20-BN20-BO20</f>
        <v>0</v>
      </c>
      <c r="BL20" s="465">
        <f ca="1">COUNTIF(Pool!$C$226:$C$229,Fixture!BG20)-BM20-BN20-BO20</f>
        <v>0</v>
      </c>
      <c r="BM20" s="463">
        <f ca="1">COUNTIF(Pool!$C$252,Fixture!BG20)</f>
        <v>0</v>
      </c>
      <c r="BN20" s="463">
        <f ca="1">COUNTIF(Pool!$C$251,Fixture!BG20)</f>
        <v>0</v>
      </c>
      <c r="BO20" s="466">
        <f ca="1">COUNTIF(Pool!$C$250,Fixture!BG20)</f>
        <v>0</v>
      </c>
    </row>
    <row r="21" spans="1:67" ht="16" thickBot="1" x14ac:dyDescent="0.25">
      <c r="A21" s="181">
        <v>30</v>
      </c>
      <c r="B21" s="521"/>
      <c r="C21" s="444" t="str">
        <f ca="1">+MID(INDEX(WORLDCUP!$AA$4:$AA$147,MATCH(A21,WORLDCUP!$AH$4:$AH$147,0)),1,3)</f>
        <v>Sco</v>
      </c>
      <c r="D21" s="445" t="str">
        <f>IF(ISBLANK(INDEX(WORLDCUP!$AC$4:$AC$147,MATCH(A21,WORLDCUP!$AH$4:$AH$147,0))),"",INDEX(WORLDCUP!$AC$4:$AC$147,MATCH(A21,WORLDCUP!$AH$4:$AH$147,0)))</f>
        <v/>
      </c>
      <c r="E21" s="445" t="str">
        <f>IF(ISBLANK(INDEX(WORLDCUP!$AD$4:$AD$147,MATCH(A21,WORLDCUP!$AH$4:$AH$147,0))),"",INDEX(WORLDCUP!$AD$4:$AD$147,MATCH(A21,WORLDCUP!$AH$4:$AH$147,0)))</f>
        <v/>
      </c>
      <c r="F21" s="446" t="str">
        <f ca="1">+MID(INDEX(WORLDCUP!$AF$4:$AF$147,MATCH(A21,WORLDCUP!$AH$4:$AH$147,0)),1,3)</f>
        <v>Mor</v>
      </c>
      <c r="G21" s="467">
        <v>2</v>
      </c>
      <c r="H21" s="468" t="str">
        <f ca="1">+MID(INDEX(WORLDCUP!$AL$6:$AL$97,MATCH(L21,WORLDCUP!$AI$6:$AI$97,0)),1,3)</f>
        <v>Mor</v>
      </c>
      <c r="I21" s="38">
        <f ca="1">+INDEX(WORLDCUP!$AM$6:$AM$97,MATCH(L21,WORLDCUP!$AI$6:$AI$97,0))</f>
        <v>0</v>
      </c>
      <c r="J21" s="39">
        <f ca="1">+INDEX(WORLDCUP!$AT$6:$AT$97,MATCH(L21,WORLDCUP!$AI$6:$AI$97,0))</f>
        <v>0</v>
      </c>
      <c r="K21" s="43" t="str">
        <f ca="1">+INDEX(WORLDCUP!$AR$6:$AR$97,MATCH(L21,WORLDCUP!$AI$6:$AI$97,0))&amp;"-"&amp;INDEX(WORLDCUP!$AS$6:$AS$97,MATCH(L21,WORLDCUP!$AI$6:$AI$97,0))</f>
        <v>0-0</v>
      </c>
      <c r="L21" s="181" t="s">
        <v>667</v>
      </c>
      <c r="M21" s="181">
        <v>42</v>
      </c>
      <c r="N21" s="522"/>
      <c r="O21" s="444" t="str">
        <f ca="1">+MID(INDEX(WORLDCUP!$AA$4:$AA$147,MATCH(M21,WORLDCUP!$AH$4:$AH$147,0)),1,3)</f>
        <v>Fra</v>
      </c>
      <c r="P21" s="445" t="str">
        <f>IF(ISBLANK(INDEX(WORLDCUP!$AC$4:$AC$147,MATCH(M21,WORLDCUP!$AH$4:$AH$147,0))),"",INDEX(WORLDCUP!$AC$4:$AC$147,MATCH(M21,WORLDCUP!$AH$4:$AH$147,0)))</f>
        <v/>
      </c>
      <c r="Q21" s="445" t="str">
        <f>IF(ISBLANK(INDEX(WORLDCUP!$AD$4:$AD$147,MATCH(M21,WORLDCUP!$AH$4:$AH$147,0))),"",INDEX(WORLDCUP!$AD$4:$AD$147,MATCH(M21,WORLDCUP!$AH$4:$AH$147,0)))</f>
        <v/>
      </c>
      <c r="R21" s="446" t="str">
        <f ca="1">+MID(INDEX(WORLDCUP!$AF$4:$AF$147,MATCH(M21,WORLDCUP!$AH$4:$AH$147,0)),1,3)</f>
        <v>Ira</v>
      </c>
      <c r="S21" s="467">
        <v>2</v>
      </c>
      <c r="T21" s="468" t="str">
        <f ca="1">+MID(INDEX(WORLDCUP!$AL$6:$AL$97,MATCH(X21,WORLDCUP!$AI$6:$AI$97,0)),1,3)</f>
        <v>Sen</v>
      </c>
      <c r="U21" s="38">
        <f ca="1">+INDEX(WORLDCUP!$AM$6:$AM$97,MATCH(X21,WORLDCUP!$AI$6:$AI$97,0))</f>
        <v>0</v>
      </c>
      <c r="V21" s="39">
        <f ca="1">+INDEX(WORLDCUP!$AT$6:$AT$97,MATCH(X21,WORLDCUP!$AI$6:$AI$97,0))</f>
        <v>0</v>
      </c>
      <c r="W21" s="43" t="str">
        <f ca="1">+INDEX(WORLDCUP!$AR$6:$AR$97,MATCH(X21,WORLDCUP!$AI$6:$AI$97,0))&amp;"-"&amp;INDEX(WORLDCUP!$AS$6:$AS$97,MATCH(X21,WORLDCUP!$AI$6:$AI$97,0))</f>
        <v>0-0</v>
      </c>
      <c r="X21" s="181" t="s">
        <v>685</v>
      </c>
      <c r="Y21" s="181">
        <v>81</v>
      </c>
      <c r="Z21" s="425" t="s">
        <v>669</v>
      </c>
      <c r="AA21" s="426" t="str">
        <f ca="1">+MID(INDEX(WORLDCUP!$AA$101:$AA$147,MATCH(Y21,WORLDCUP!$Z$101:$Z$147,0)),1,3)</f>
        <v>1D</v>
      </c>
      <c r="AB21" s="427" t="str">
        <f>+IF(ISBLANK(INDEX(WORLDCUP!$AC$101:$AC$147,MATCH(Y21,WORLDCUP!$Z$101:$Z$147,0))),"",INDEX(WORLDCUP!$AC$101:$AC$147,MATCH(Y21,WORLDCUP!$Z$101:$Z$147,0)))</f>
        <v/>
      </c>
      <c r="AC21" s="498" t="str">
        <f>+IF(ISBLANK(INDEX(WORLDCUP!$AB$101:$AB$147,MATCH(Y21,WORLDCUP!$Z$101:$Z$147,0))),"","( "&amp;INDEX(WORLDCUP!$AB$101:$AB$147,MATCH(Y21,WORLDCUP!$Z$101:$Z$147,0))&amp;" )")</f>
        <v/>
      </c>
      <c r="AD21" s="179"/>
      <c r="AE21" s="429"/>
      <c r="AF21" s="429"/>
      <c r="AG21" s="475"/>
      <c r="AH21" s="181"/>
      <c r="AI21" s="459"/>
      <c r="AJ21" s="459"/>
      <c r="AK21" s="459"/>
      <c r="AL21" s="181"/>
      <c r="AM21" s="431"/>
      <c r="AN21" s="431"/>
      <c r="AO21" s="512"/>
      <c r="AP21" s="181"/>
      <c r="AQ21" s="460"/>
      <c r="AR21" s="460"/>
      <c r="AS21" s="460"/>
      <c r="AT21" s="181"/>
      <c r="AU21" s="523"/>
      <c r="AV21" s="359"/>
      <c r="AW21" s="433"/>
      <c r="AX21" s="181"/>
      <c r="AY21" s="527"/>
      <c r="AZ21" s="528"/>
      <c r="BA21" s="528" t="str">
        <f>WORLDCUP!AA150</f>
        <v>WF</v>
      </c>
      <c r="BB21" s="528"/>
      <c r="BC21" s="529"/>
      <c r="BD21" s="153"/>
      <c r="BE21" s="153"/>
      <c r="BG21" s="462" t="str">
        <f ca="1">Horarios!Q20</f>
        <v>France</v>
      </c>
      <c r="BH21" s="463">
        <f t="shared" ca="1" si="0"/>
        <v>1</v>
      </c>
      <c r="BI21" s="463">
        <f ca="1">COUNTIF(Pool!$C$130:$C$161,Fixture!BG21)-BJ21-BK21-BL21-BM21-BN21-BO21</f>
        <v>0</v>
      </c>
      <c r="BJ21" s="464">
        <f ca="1">COUNTIF(Pool!$C$182:$C$197,Fixture!BG21)-BK21-BL21-BM21-BN21-BO21</f>
        <v>0</v>
      </c>
      <c r="BK21" s="465">
        <f ca="1">COUNTIF(Pool!$C$210:$C$217,Fixture!BG21)-BL21-BM21-BN21-BO21</f>
        <v>0</v>
      </c>
      <c r="BL21" s="465">
        <f ca="1">COUNTIF(Pool!$C$226:$C$229,Fixture!BG21)-BM21-BN21-BO21</f>
        <v>0</v>
      </c>
      <c r="BM21" s="463">
        <f ca="1">COUNTIF(Pool!$C$252,Fixture!BG21)</f>
        <v>0</v>
      </c>
      <c r="BN21" s="463">
        <f ca="1">COUNTIF(Pool!$C$251,Fixture!BG21)</f>
        <v>0</v>
      </c>
      <c r="BO21" s="466">
        <f ca="1">COUNTIF(Pool!$C$250,Fixture!BG21)</f>
        <v>0</v>
      </c>
    </row>
    <row r="22" spans="1:67" ht="16" thickBot="1" x14ac:dyDescent="0.25">
      <c r="A22" s="181">
        <v>29</v>
      </c>
      <c r="B22" s="521"/>
      <c r="C22" s="444" t="str">
        <f ca="1">+MID(INDEX(WORLDCUP!$AA$4:$AA$147,MATCH(A22,WORLDCUP!$AH$4:$AH$147,0)),1,3)</f>
        <v>Bra</v>
      </c>
      <c r="D22" s="445" t="str">
        <f>IF(ISBLANK(INDEX(WORLDCUP!$AC$4:$AC$147,MATCH(A22,WORLDCUP!$AH$4:$AH$147,0))),"",INDEX(WORLDCUP!$AC$4:$AC$147,MATCH(A22,WORLDCUP!$AH$4:$AH$147,0)))</f>
        <v/>
      </c>
      <c r="E22" s="445" t="str">
        <f>IF(ISBLANK(INDEX(WORLDCUP!$AD$4:$AD$147,MATCH(A22,WORLDCUP!$AH$4:$AH$147,0))),"",INDEX(WORLDCUP!$AD$4:$AD$147,MATCH(A22,WORLDCUP!$AH$4:$AH$147,0)))</f>
        <v/>
      </c>
      <c r="F22" s="446" t="str">
        <f ca="1">+MID(INDEX(WORLDCUP!$AF$4:$AF$147,MATCH(A22,WORLDCUP!$AH$4:$AH$147,0)),1,3)</f>
        <v>Hai</v>
      </c>
      <c r="G22" s="467">
        <v>3</v>
      </c>
      <c r="H22" s="468" t="str">
        <f ca="1">+MID(INDEX(WORLDCUP!$AL$6:$AL$97,MATCH(L22,WORLDCUP!$AI$6:$AI$97,0)),1,3)</f>
        <v>Hai</v>
      </c>
      <c r="I22" s="38">
        <f ca="1">+INDEX(WORLDCUP!$AM$6:$AM$97,MATCH(L22,WORLDCUP!$AI$6:$AI$97,0))</f>
        <v>0</v>
      </c>
      <c r="J22" s="39">
        <f ca="1">+INDEX(WORLDCUP!$AT$6:$AT$97,MATCH(L22,WORLDCUP!$AI$6:$AI$97,0))</f>
        <v>0</v>
      </c>
      <c r="K22" s="43" t="str">
        <f ca="1">+INDEX(WORLDCUP!$AR$6:$AR$97,MATCH(L22,WORLDCUP!$AI$6:$AI$97,0))&amp;"-"&amp;INDEX(WORLDCUP!$AS$6:$AS$97,MATCH(L22,WORLDCUP!$AI$6:$AI$97,0))</f>
        <v>0-0</v>
      </c>
      <c r="L22" s="181" t="s">
        <v>92</v>
      </c>
      <c r="M22" s="181">
        <v>41</v>
      </c>
      <c r="N22" s="522"/>
      <c r="O22" s="444" t="str">
        <f ca="1">+MID(INDEX(WORLDCUP!$AA$4:$AA$147,MATCH(M22,WORLDCUP!$AH$4:$AH$147,0)),1,3)</f>
        <v>Nor</v>
      </c>
      <c r="P22" s="445" t="str">
        <f>IF(ISBLANK(INDEX(WORLDCUP!$AC$4:$AC$147,MATCH(M22,WORLDCUP!$AH$4:$AH$147,0))),"",INDEX(WORLDCUP!$AC$4:$AC$147,MATCH(M22,WORLDCUP!$AH$4:$AH$147,0)))</f>
        <v/>
      </c>
      <c r="Q22" s="445" t="str">
        <f>IF(ISBLANK(INDEX(WORLDCUP!$AD$4:$AD$147,MATCH(M22,WORLDCUP!$AH$4:$AH$147,0))),"",INDEX(WORLDCUP!$AD$4:$AD$147,MATCH(M22,WORLDCUP!$AH$4:$AH$147,0)))</f>
        <v/>
      </c>
      <c r="R22" s="446" t="str">
        <f ca="1">+MID(INDEX(WORLDCUP!$AF$4:$AF$147,MATCH(M22,WORLDCUP!$AH$4:$AH$147,0)),1,3)</f>
        <v>Sen</v>
      </c>
      <c r="S22" s="467">
        <v>3</v>
      </c>
      <c r="T22" s="468" t="str">
        <f ca="1">+MID(INDEX(WORLDCUP!$AL$6:$AL$97,MATCH(X22,WORLDCUP!$AI$6:$AI$97,0)),1,3)</f>
        <v>Ira</v>
      </c>
      <c r="U22" s="38">
        <f ca="1">+INDEX(WORLDCUP!$AM$6:$AM$97,MATCH(X22,WORLDCUP!$AI$6:$AI$97,0))</f>
        <v>0</v>
      </c>
      <c r="V22" s="39">
        <f ca="1">+INDEX(WORLDCUP!$AT$6:$AT$97,MATCH(X22,WORLDCUP!$AI$6:$AI$97,0))</f>
        <v>0</v>
      </c>
      <c r="W22" s="43" t="str">
        <f ca="1">+INDEX(WORLDCUP!$AR$6:$AR$97,MATCH(X22,WORLDCUP!$AI$6:$AI$97,0))&amp;"-"&amp;INDEX(WORLDCUP!$AS$6:$AS$97,MATCH(X22,WORLDCUP!$AI$6:$AI$97,0))</f>
        <v>0-0</v>
      </c>
      <c r="X22" s="181" t="s">
        <v>450</v>
      </c>
      <c r="Y22" s="181">
        <v>81</v>
      </c>
      <c r="Z22" s="425" t="s">
        <v>737</v>
      </c>
      <c r="AA22" s="426" t="str">
        <f ca="1">+MID(INDEX(WORLDCUP!$AF$101:$AF$147,MATCH(Y22,WORLDCUP!$Z$101:$Z$147,0)),1,IF(WORLDCUP!$H$113&lt;144,6,3))</f>
        <v>3BEFIJ</v>
      </c>
      <c r="AB22" s="453" t="str">
        <f>+IF(ISBLANK(INDEX(WORLDCUP!$AD$101:$AD$147,MATCH(Y22,WORLDCUP!$Z$101:$Z$147,0))),"",INDEX(WORLDCUP!$AD$101:$AD$147,MATCH(Y22,WORLDCUP!$Z$101:$Z$147,0)))</f>
        <v/>
      </c>
      <c r="AC22" s="454" t="str">
        <f>+IF(ISBLANK(INDEX(WORLDCUP!$AE$101:$AE$147,MATCH(Y22,WORLDCUP!$Z$101:$Z$147,0))),"","( "&amp;INDEX(WORLDCUP!$AE$101:$AE$147,MATCH(Y22,WORLDCUP!$Z$101:$Z$147,0))&amp;" )")</f>
        <v/>
      </c>
      <c r="AD22" s="455">
        <v>94</v>
      </c>
      <c r="AE22" s="456" t="str">
        <f>+MID(INDEX(WORLDCUP!$AA$101:$AA$147,MATCH(AD22,WORLDCUP!$Z$101:$Z$147,0)),1,3)</f>
        <v>W81</v>
      </c>
      <c r="AF22" s="457" t="str">
        <f>+IF(ISBLANK(INDEX(WORLDCUP!$AC$101:$AC$147,MATCH(AD22,WORLDCUP!$Z$101:$Z$147,0))),"",INDEX(WORLDCUP!$AC$101:$AC$147,MATCH(AD22,WORLDCUP!$Z$101:$Z$147,0)))</f>
        <v/>
      </c>
      <c r="AG22" s="501" t="str">
        <f>+IF(ISBLANK(INDEX(WORLDCUP!$AB$101:$AB$147,MATCH(AD22,WORLDCUP!$Z$101:$Z$147,0))),"","( "&amp;INDEX(WORLDCUP!$AB$101:$AB$147,MATCH(AD22,WORLDCUP!$Z$101:$Z$147,0))&amp;" )")</f>
        <v/>
      </c>
      <c r="AH22" s="181"/>
      <c r="AI22" s="459"/>
      <c r="AJ22" s="459"/>
      <c r="AK22" s="459"/>
      <c r="AL22" s="181"/>
      <c r="AM22" s="431"/>
      <c r="AN22" s="431"/>
      <c r="AO22" s="512"/>
      <c r="AP22" s="181"/>
      <c r="AQ22" s="460"/>
      <c r="AR22" s="460"/>
      <c r="AS22" s="460"/>
      <c r="AT22" s="181"/>
      <c r="AU22" s="523"/>
      <c r="AV22" s="359"/>
      <c r="AW22" s="433"/>
      <c r="AX22" s="181"/>
      <c r="AY22" s="527"/>
      <c r="AZ22" s="528"/>
      <c r="BA22" s="530"/>
      <c r="BB22" s="528"/>
      <c r="BC22" s="529"/>
      <c r="BD22" s="153"/>
      <c r="BE22" s="153"/>
      <c r="BG22" s="462" t="str">
        <f ca="1">Horarios!Q21</f>
        <v>Germany</v>
      </c>
      <c r="BH22" s="463">
        <f t="shared" ca="1" si="0"/>
        <v>1</v>
      </c>
      <c r="BI22" s="463">
        <f ca="1">COUNTIF(Pool!$C$130:$C$161,Fixture!BG22)-BJ22-BK22-BL22-BM22-BN22-BO22</f>
        <v>0</v>
      </c>
      <c r="BJ22" s="464">
        <f ca="1">COUNTIF(Pool!$C$182:$C$197,Fixture!BG22)-BK22-BL22-BM22-BN22-BO22</f>
        <v>0</v>
      </c>
      <c r="BK22" s="465">
        <f ca="1">COUNTIF(Pool!$C$210:$C$217,Fixture!BG22)-BL22-BM22-BN22-BO22</f>
        <v>0</v>
      </c>
      <c r="BL22" s="465">
        <f ca="1">COUNTIF(Pool!$C$226:$C$229,Fixture!BG22)-BM22-BN22-BO22</f>
        <v>0</v>
      </c>
      <c r="BM22" s="463">
        <f ca="1">COUNTIF(Pool!$C$252,Fixture!BG22)</f>
        <v>0</v>
      </c>
      <c r="BN22" s="463">
        <f ca="1">COUNTIF(Pool!$C$251,Fixture!BG22)</f>
        <v>0</v>
      </c>
      <c r="BO22" s="466">
        <f ca="1">COUNTIF(Pool!$C$250,Fixture!BG22)</f>
        <v>0</v>
      </c>
    </row>
    <row r="23" spans="1:67" x14ac:dyDescent="0.2">
      <c r="A23" s="181">
        <v>49</v>
      </c>
      <c r="B23" s="521"/>
      <c r="C23" s="444" t="str">
        <f ca="1">+MID(INDEX(WORLDCUP!$AA$4:$AA$147,MATCH(A23,WORLDCUP!$AH$4:$AH$147,0)),1,3)</f>
        <v>Sco</v>
      </c>
      <c r="D23" s="445" t="str">
        <f>IF(ISBLANK(INDEX(WORLDCUP!$AC$4:$AC$147,MATCH(A23,WORLDCUP!$AH$4:$AH$147,0))),"",INDEX(WORLDCUP!$AC$4:$AC$147,MATCH(A23,WORLDCUP!$AH$4:$AH$147,0)))</f>
        <v/>
      </c>
      <c r="E23" s="445" t="str">
        <f>IF(ISBLANK(INDEX(WORLDCUP!$AD$4:$AD$147,MATCH(A23,WORLDCUP!$AH$4:$AH$147,0))),"",INDEX(WORLDCUP!$AD$4:$AD$147,MATCH(A23,WORLDCUP!$AH$4:$AH$147,0)))</f>
        <v/>
      </c>
      <c r="F23" s="446" t="str">
        <f ca="1">+MID(INDEX(WORLDCUP!$AF$4:$AF$147,MATCH(A23,WORLDCUP!$AH$4:$AH$147,0)),1,3)</f>
        <v>Bra</v>
      </c>
      <c r="G23" s="467">
        <v>4</v>
      </c>
      <c r="H23" s="476" t="str">
        <f ca="1">+MID(INDEX(WORLDCUP!$AL$6:$AL$97,MATCH(L23,WORLDCUP!$AI$6:$AI$97,0)),1,3)</f>
        <v>Sco</v>
      </c>
      <c r="I23" s="477">
        <f ca="1">+INDEX(WORLDCUP!$AM$6:$AM$97,MATCH(L23,WORLDCUP!$AI$6:$AI$97,0))</f>
        <v>0</v>
      </c>
      <c r="J23" s="478">
        <f ca="1">+INDEX(WORLDCUP!$AT$6:$AT$97,MATCH(L23,WORLDCUP!$AI$6:$AI$97,0))</f>
        <v>0</v>
      </c>
      <c r="K23" s="479" t="str">
        <f ca="1">+INDEX(WORLDCUP!$AR$6:$AR$97,MATCH(L23,WORLDCUP!$AI$6:$AI$97,0))&amp;"-"&amp;INDEX(WORLDCUP!$AS$6:$AS$97,MATCH(L23,WORLDCUP!$AI$6:$AI$97,0))</f>
        <v>0-0</v>
      </c>
      <c r="L23" s="181" t="s">
        <v>668</v>
      </c>
      <c r="M23" s="181">
        <v>61</v>
      </c>
      <c r="N23" s="522"/>
      <c r="O23" s="444" t="str">
        <f ca="1">+MID(INDEX(WORLDCUP!$AA$4:$AA$147,MATCH(M23,WORLDCUP!$AH$4:$AH$147,0)),1,3)</f>
        <v>Nor</v>
      </c>
      <c r="P23" s="445" t="str">
        <f>IF(ISBLANK(INDEX(WORLDCUP!$AC$4:$AC$147,MATCH(M23,WORLDCUP!$AH$4:$AH$147,0))),"",INDEX(WORLDCUP!$AC$4:$AC$147,MATCH(M23,WORLDCUP!$AH$4:$AH$147,0)))</f>
        <v/>
      </c>
      <c r="Q23" s="445" t="str">
        <f>IF(ISBLANK(INDEX(WORLDCUP!$AD$4:$AD$147,MATCH(M23,WORLDCUP!$AH$4:$AH$147,0))),"",INDEX(WORLDCUP!$AD$4:$AD$147,MATCH(M23,WORLDCUP!$AH$4:$AH$147,0)))</f>
        <v/>
      </c>
      <c r="R23" s="446" t="str">
        <f ca="1">+MID(INDEX(WORLDCUP!$AF$4:$AF$147,MATCH(M23,WORLDCUP!$AH$4:$AH$147,0)),1,3)</f>
        <v>Fra</v>
      </c>
      <c r="S23" s="467">
        <v>4</v>
      </c>
      <c r="T23" s="476" t="str">
        <f ca="1">+MID(INDEX(WORLDCUP!$AL$6:$AL$97,MATCH(X23,WORLDCUP!$AI$6:$AI$97,0)),1,3)</f>
        <v>Nor</v>
      </c>
      <c r="U23" s="477">
        <f ca="1">+INDEX(WORLDCUP!$AM$6:$AM$97,MATCH(X23,WORLDCUP!$AI$6:$AI$97,0))</f>
        <v>0</v>
      </c>
      <c r="V23" s="478">
        <f ca="1">+INDEX(WORLDCUP!$AT$6:$AT$97,MATCH(X23,WORLDCUP!$AI$6:$AI$97,0))</f>
        <v>0</v>
      </c>
      <c r="W23" s="479" t="str">
        <f ca="1">+INDEX(WORLDCUP!$AR$6:$AR$97,MATCH(X23,WORLDCUP!$AI$6:$AI$97,0))&amp;"-"&amp;INDEX(WORLDCUP!$AS$6:$AS$97,MATCH(X23,WORLDCUP!$AI$6:$AI$97,0))</f>
        <v>0-0</v>
      </c>
      <c r="X23" s="181" t="s">
        <v>686</v>
      </c>
      <c r="Y23" s="181"/>
      <c r="Z23" s="425"/>
      <c r="AA23" s="469"/>
      <c r="AB23" s="469"/>
      <c r="AC23" s="470"/>
      <c r="AD23" s="181">
        <v>94</v>
      </c>
      <c r="AE23" s="456" t="str">
        <f>+MID(INDEX(WORLDCUP!$AF$101:$AF$147,MATCH(AD23,WORLDCUP!$Z$101:$Z$147,0)),1,3)</f>
        <v>W82</v>
      </c>
      <c r="AF23" s="457" t="str">
        <f>+IF(ISBLANK(INDEX(WORLDCUP!$AD$101:$AD$147,MATCH(AD23,WORLDCUP!$Z$101:$Z$147,0))),"",INDEX(WORLDCUP!$AD$101:$AD$147,MATCH(AD23,WORLDCUP!$Z$101:$Z$147,0)))</f>
        <v/>
      </c>
      <c r="AG23" s="474" t="str">
        <f>+IF(ISBLANK(INDEX(WORLDCUP!$AE$101:$AE$147,MATCH(AD23,WORLDCUP!$Z$101:$Z$147,0))),"","( "&amp;INDEX(WORLDCUP!$AE$101:$AE$147,MATCH(AD23,WORLDCUP!$Z$101:$Z$147,0))&amp;" )")</f>
        <v/>
      </c>
      <c r="AH23" s="181"/>
      <c r="AI23" s="459"/>
      <c r="AJ23" s="459"/>
      <c r="AK23" s="459"/>
      <c r="AL23" s="181"/>
      <c r="AM23" s="431"/>
      <c r="AN23" s="431"/>
      <c r="AO23" s="512"/>
      <c r="AP23" s="415"/>
      <c r="AQ23" s="460"/>
      <c r="AR23" s="460"/>
      <c r="AS23" s="460"/>
      <c r="AT23" s="181"/>
      <c r="AU23" s="433"/>
      <c r="AV23" s="433"/>
      <c r="AW23" s="433"/>
      <c r="AX23" s="181"/>
      <c r="AY23" s="527"/>
      <c r="AZ23" s="528"/>
      <c r="BA23" s="530"/>
      <c r="BB23" s="528" t="str">
        <f>+WORLDCUP!AA151</f>
        <v>LF</v>
      </c>
      <c r="BC23" s="529"/>
      <c r="BD23" s="153"/>
      <c r="BE23" s="153"/>
      <c r="BG23" s="462" t="str">
        <f ca="1">Horarios!Q22</f>
        <v>Ghana</v>
      </c>
      <c r="BH23" s="463">
        <f t="shared" ca="1" si="0"/>
        <v>1</v>
      </c>
      <c r="BI23" s="463">
        <f ca="1">COUNTIF(Pool!$C$130:$C$161,Fixture!BG23)-BJ23-BK23-BL23-BM23-BN23-BO23</f>
        <v>0</v>
      </c>
      <c r="BJ23" s="464">
        <f ca="1">COUNTIF(Pool!$C$182:$C$197,Fixture!BG23)-BK23-BL23-BM23-BN23-BO23</f>
        <v>0</v>
      </c>
      <c r="BK23" s="465">
        <f ca="1">COUNTIF(Pool!$C$210:$C$217,Fixture!BG23)-BL23-BM23-BN23-BO23</f>
        <v>0</v>
      </c>
      <c r="BL23" s="465">
        <f ca="1">COUNTIF(Pool!$C$226:$C$229,Fixture!BG23)-BM23-BN23-BO23</f>
        <v>0</v>
      </c>
      <c r="BM23" s="463">
        <f ca="1">COUNTIF(Pool!$C$252,Fixture!BG23)</f>
        <v>0</v>
      </c>
      <c r="BN23" s="463">
        <f ca="1">COUNTIF(Pool!$C$251,Fixture!BG23)</f>
        <v>0</v>
      </c>
      <c r="BO23" s="466">
        <f ca="1">COUNTIF(Pool!$C$250,Fixture!BG23)</f>
        <v>0</v>
      </c>
    </row>
    <row r="24" spans="1:67" ht="16" thickBot="1" x14ac:dyDescent="0.25">
      <c r="A24" s="181">
        <v>50</v>
      </c>
      <c r="B24" s="531"/>
      <c r="C24" s="487" t="str">
        <f ca="1">+MID(INDEX(WORLDCUP!$AA$4:$AA$147,MATCH(A24,WORLDCUP!$AH$4:$AH$147,0)),1,3)</f>
        <v>Mor</v>
      </c>
      <c r="D24" s="488" t="str">
        <f>IF(ISBLANK(INDEX(WORLDCUP!$AC$4:$AC$147,MATCH(A24,WORLDCUP!$AH$4:$AH$147,0))),"",INDEX(WORLDCUP!$AC$4:$AC$147,MATCH(A24,WORLDCUP!$AH$4:$AH$147,0)))</f>
        <v/>
      </c>
      <c r="E24" s="488" t="str">
        <f>IF(ISBLANK(INDEX(WORLDCUP!$AD$4:$AD$147,MATCH(A24,WORLDCUP!$AH$4:$AH$147,0))),"",INDEX(WORLDCUP!$AD$4:$AD$147,MATCH(A24,WORLDCUP!$AH$4:$AH$147,0)))</f>
        <v/>
      </c>
      <c r="F24" s="489" t="str">
        <f ca="1">+MID(INDEX(WORLDCUP!$AF$4:$AF$147,MATCH(A24,WORLDCUP!$AH$4:$AH$147,0)),1,3)</f>
        <v>Hai</v>
      </c>
      <c r="G24" s="490"/>
      <c r="H24" s="490"/>
      <c r="I24" s="491"/>
      <c r="J24" s="491"/>
      <c r="K24" s="492"/>
      <c r="L24" s="181"/>
      <c r="M24" s="181">
        <v>62</v>
      </c>
      <c r="N24" s="532"/>
      <c r="O24" s="487" t="str">
        <f ca="1">+MID(INDEX(WORLDCUP!$AA$4:$AA$147,MATCH(M24,WORLDCUP!$AH$4:$AH$147,0)),1,3)</f>
        <v>Sen</v>
      </c>
      <c r="P24" s="488" t="str">
        <f>IF(ISBLANK(INDEX(WORLDCUP!$AC$4:$AC$147,MATCH(M24,WORLDCUP!$AH$4:$AH$147,0))),"",INDEX(WORLDCUP!$AC$4:$AC$147,MATCH(M24,WORLDCUP!$AH$4:$AH$147,0)))</f>
        <v/>
      </c>
      <c r="Q24" s="488" t="str">
        <f>IF(ISBLANK(INDEX(WORLDCUP!$AD$4:$AD$147,MATCH(M24,WORLDCUP!$AH$4:$AH$147,0))),"",INDEX(WORLDCUP!$AD$4:$AD$147,MATCH(M24,WORLDCUP!$AH$4:$AH$147,0)))</f>
        <v/>
      </c>
      <c r="R24" s="489" t="str">
        <f ca="1">+MID(INDEX(WORLDCUP!$AF$4:$AF$147,MATCH(M24,WORLDCUP!$AH$4:$AH$147,0)),1,3)</f>
        <v>Ira</v>
      </c>
      <c r="S24" s="490"/>
      <c r="T24" s="490"/>
      <c r="U24" s="491"/>
      <c r="V24" s="491"/>
      <c r="W24" s="492"/>
      <c r="X24" s="181"/>
      <c r="Y24" s="181">
        <v>82</v>
      </c>
      <c r="Z24" s="425" t="s">
        <v>678</v>
      </c>
      <c r="AA24" s="426" t="str">
        <f ca="1">+MID(INDEX(WORLDCUP!$AA$101:$AA$147,MATCH(Y24,WORLDCUP!$Z$101:$Z$147,0)),1,3)</f>
        <v>1G</v>
      </c>
      <c r="AB24" s="472" t="str">
        <f>+IF(ISBLANK(INDEX(WORLDCUP!$AC$101:$AC$147,MATCH(Y24,WORLDCUP!$Z$101:$Z$147,0))),"",INDEX(WORLDCUP!$AC$101:$AC$147,MATCH(Y24,WORLDCUP!$Z$101:$Z$147,0)))</f>
        <v/>
      </c>
      <c r="AC24" s="506" t="str">
        <f>+IF(ISBLANK(INDEX(WORLDCUP!$AB$101:$AB$147,MATCH(Y24,WORLDCUP!$Z$101:$Z$147,0))),"","( "&amp;INDEX(WORLDCUP!$AB$101:$AB$147,MATCH(Y24,WORLDCUP!$Z$101:$Z$147,0))&amp;" )")</f>
        <v/>
      </c>
      <c r="AD24" s="181"/>
      <c r="AE24" s="429"/>
      <c r="AF24" s="429"/>
      <c r="AG24" s="429"/>
      <c r="AH24" s="181"/>
      <c r="AI24" s="459"/>
      <c r="AJ24" s="459"/>
      <c r="AK24" s="459"/>
      <c r="AL24" s="181"/>
      <c r="AM24" s="431"/>
      <c r="AN24" s="431"/>
      <c r="AO24" s="512"/>
      <c r="AP24" s="415"/>
      <c r="AQ24" s="460"/>
      <c r="AR24" s="460"/>
      <c r="AS24" s="460"/>
      <c r="AT24" s="181"/>
      <c r="AU24" s="433"/>
      <c r="AV24" s="433"/>
      <c r="AW24" s="433"/>
      <c r="AX24" s="181"/>
      <c r="AY24" s="527"/>
      <c r="AZ24" s="528"/>
      <c r="BA24" s="530"/>
      <c r="BB24" s="533"/>
      <c r="BC24" s="529"/>
      <c r="BD24" s="153"/>
      <c r="BE24" s="153"/>
      <c r="BG24" s="462" t="str">
        <f ca="1">Horarios!Q23</f>
        <v>Haiti</v>
      </c>
      <c r="BH24" s="463">
        <f t="shared" ca="1" si="0"/>
        <v>1</v>
      </c>
      <c r="BI24" s="463">
        <f ca="1">COUNTIF(Pool!$C$130:$C$161,Fixture!BG24)-BJ24-BK24-BL24-BM24-BN24-BO24</f>
        <v>0</v>
      </c>
      <c r="BJ24" s="464">
        <f ca="1">COUNTIF(Pool!$C$182:$C$197,Fixture!BG24)-BK24-BL24-BM24-BN24-BO24</f>
        <v>0</v>
      </c>
      <c r="BK24" s="465">
        <f ca="1">COUNTIF(Pool!$C$210:$C$217,Fixture!BG24)-BL24-BM24-BN24-BO24</f>
        <v>0</v>
      </c>
      <c r="BL24" s="465">
        <f ca="1">COUNTIF(Pool!$C$226:$C$229,Fixture!BG24)-BM24-BN24-BO24</f>
        <v>0</v>
      </c>
      <c r="BM24" s="463">
        <f ca="1">COUNTIF(Pool!$C$252,Fixture!BG24)</f>
        <v>0</v>
      </c>
      <c r="BN24" s="463">
        <f ca="1">COUNTIF(Pool!$C$251,Fixture!BG24)</f>
        <v>0</v>
      </c>
      <c r="BO24" s="466">
        <f ca="1">COUNTIF(Pool!$C$250,Fixture!BG24)</f>
        <v>0</v>
      </c>
    </row>
    <row r="25" spans="1:67" ht="16" thickBot="1" x14ac:dyDescent="0.25">
      <c r="A25" s="181"/>
      <c r="B25" s="411"/>
      <c r="C25" s="496"/>
      <c r="D25" s="497"/>
      <c r="E25" s="497"/>
      <c r="F25" s="153"/>
      <c r="G25" s="153"/>
      <c r="H25" s="496"/>
      <c r="I25" s="153"/>
      <c r="J25" s="153"/>
      <c r="K25" s="153"/>
      <c r="L25" s="181"/>
      <c r="M25" s="181"/>
      <c r="N25" s="151"/>
      <c r="O25" s="153"/>
      <c r="P25" s="153"/>
      <c r="Q25" s="153"/>
      <c r="R25" s="153"/>
      <c r="S25" s="153"/>
      <c r="T25" s="153"/>
      <c r="U25" s="153"/>
      <c r="V25" s="153"/>
      <c r="W25" s="153"/>
      <c r="X25" s="181"/>
      <c r="Y25" s="181">
        <v>82</v>
      </c>
      <c r="Z25" s="425" t="s">
        <v>738</v>
      </c>
      <c r="AA25" s="480" t="str">
        <f ca="1">+MID(INDEX(WORLDCUP!$AF$101:$AF$147,MATCH(Y25,WORLDCUP!$Z$101:$Z$147,0)),1,IF(WORLDCUP!$H$113&lt;144,6,3))</f>
        <v>3AEHIJ</v>
      </c>
      <c r="AB25" s="481" t="str">
        <f>+IF(ISBLANK(INDEX(WORLDCUP!$AD$101:$AD$147,MATCH(Y25,WORLDCUP!$Z$101:$Z$147,0))),"",INDEX(WORLDCUP!$AD$101:$AD$147,MATCH(Y25,WORLDCUP!$Z$101:$Z$147,0)))</f>
        <v/>
      </c>
      <c r="AC25" s="507" t="str">
        <f>+IF(ISBLANK(INDEX(WORLDCUP!$AE$101:$AE$147,MATCH(Y25,WORLDCUP!$Z$101:$Z$147,0))),"","( "&amp;INDEX(WORLDCUP!$AE$101:$AE$147,MATCH(Y25,WORLDCUP!$Z$101:$Z$147,0))&amp;" )")</f>
        <v/>
      </c>
      <c r="AD25" s="181"/>
      <c r="AE25" s="429"/>
      <c r="AF25" s="429"/>
      <c r="AG25" s="429"/>
      <c r="AH25" s="181"/>
      <c r="AI25" s="459"/>
      <c r="AJ25" s="459"/>
      <c r="AK25" s="459"/>
      <c r="AL25" s="181"/>
      <c r="AM25" s="431"/>
      <c r="AN25" s="431"/>
      <c r="AO25" s="512"/>
      <c r="AP25" s="534"/>
      <c r="AQ25" s="535"/>
      <c r="AR25" s="535"/>
      <c r="AS25" s="535"/>
      <c r="AT25" s="536">
        <v>104</v>
      </c>
      <c r="AU25" s="537" t="str">
        <f>+MID(INDEX(WORLDCUP!$AA$101:$AA$147,MATCH(AT25,WORLDCUP!$Z$101:$Z$147,0)),1,4)</f>
        <v>W101</v>
      </c>
      <c r="AV25" s="538" t="str">
        <f>+IF(ISBLANK(INDEX(WORLDCUP!$AC$101:$AC$147,MATCH(AT25,WORLDCUP!$Z$101:$Z$147,0))),"",INDEX(WORLDCUP!$AC$101:$AC$147,MATCH(AT25,WORLDCUP!$Z$101:$Z$147,0)))</f>
        <v/>
      </c>
      <c r="AW25" s="539" t="str">
        <f>+IF(ISBLANK(INDEX(WORLDCUP!$AB$101:$AB$147,MATCH(AT25,WORLDCUP!$Z$101:$Z$147,0))),"","( "&amp;INDEX(WORLDCUP!$AB$101:$AB$147,MATCH(AT25,WORLDCUP!$Z$101:$Z$147,0))&amp;" )")</f>
        <v/>
      </c>
      <c r="AX25" s="540"/>
      <c r="AY25" s="527"/>
      <c r="AZ25" s="528" t="str">
        <f>+WORLDCUP!AA152</f>
        <v>W34</v>
      </c>
      <c r="BA25" s="530"/>
      <c r="BB25" s="533"/>
      <c r="BC25" s="529"/>
      <c r="BD25" s="153"/>
      <c r="BE25" s="153"/>
      <c r="BG25" s="462" t="str">
        <f ca="1">Horarios!Q24</f>
        <v>Iran</v>
      </c>
      <c r="BH25" s="463">
        <f t="shared" ca="1" si="0"/>
        <v>1</v>
      </c>
      <c r="BI25" s="463">
        <f ca="1">COUNTIF(Pool!$C$130:$C$161,Fixture!BG25)-BJ25-BK25-BL25-BM25-BN25-BO25</f>
        <v>0</v>
      </c>
      <c r="BJ25" s="464">
        <f ca="1">COUNTIF(Pool!$C$182:$C$197,Fixture!BG25)-BK25-BL25-BM25-BN25-BO25</f>
        <v>0</v>
      </c>
      <c r="BK25" s="465">
        <f ca="1">COUNTIF(Pool!$C$210:$C$217,Fixture!BG25)-BL25-BM25-BN25-BO25</f>
        <v>0</v>
      </c>
      <c r="BL25" s="465">
        <f ca="1">COUNTIF(Pool!$C$226:$C$229,Fixture!BG25)-BM25-BN25-BO25</f>
        <v>0</v>
      </c>
      <c r="BM25" s="463">
        <f ca="1">COUNTIF(Pool!$C$252,Fixture!BG25)</f>
        <v>0</v>
      </c>
      <c r="BN25" s="463">
        <f ca="1">COUNTIF(Pool!$C$251,Fixture!BG25)</f>
        <v>0</v>
      </c>
      <c r="BO25" s="466">
        <f ca="1">COUNTIF(Pool!$C$250,Fixture!BG25)</f>
        <v>0</v>
      </c>
    </row>
    <row r="26" spans="1:67" ht="16" thickBot="1" x14ac:dyDescent="0.25">
      <c r="A26" s="181"/>
      <c r="B26" s="411"/>
      <c r="C26" s="496"/>
      <c r="D26" s="497"/>
      <c r="E26" s="497"/>
      <c r="F26" s="153"/>
      <c r="G26" s="153"/>
      <c r="H26" s="496"/>
      <c r="I26" s="153"/>
      <c r="J26" s="153"/>
      <c r="K26" s="153"/>
      <c r="L26" s="181"/>
      <c r="M26" s="181"/>
      <c r="N26" s="151"/>
      <c r="O26" s="153"/>
      <c r="P26" s="153"/>
      <c r="Q26" s="153"/>
      <c r="R26" s="153"/>
      <c r="S26" s="153"/>
      <c r="T26" s="153"/>
      <c r="U26" s="153"/>
      <c r="V26" s="153"/>
      <c r="W26" s="153"/>
      <c r="X26" s="181"/>
      <c r="Y26" s="181"/>
      <c r="Z26" s="425"/>
      <c r="AA26" s="494"/>
      <c r="AB26" s="494"/>
      <c r="AC26" s="494"/>
      <c r="AD26" s="181"/>
      <c r="AE26" s="429"/>
      <c r="AF26" s="429"/>
      <c r="AG26" s="474"/>
      <c r="AH26" s="181"/>
      <c r="AI26" s="459"/>
      <c r="AJ26" s="459"/>
      <c r="AK26" s="459"/>
      <c r="AL26" s="181"/>
      <c r="AM26" s="431"/>
      <c r="AN26" s="431"/>
      <c r="AO26" s="512"/>
      <c r="AP26" s="181"/>
      <c r="AQ26" s="460"/>
      <c r="AR26" s="460"/>
      <c r="AS26" s="460"/>
      <c r="AT26" s="181">
        <v>104</v>
      </c>
      <c r="AU26" s="537" t="str">
        <f>+MID(INDEX(WORLDCUP!$AF$101:$AF$147,MATCH(AT26,WORLDCUP!$Z$101:$Z$147,0)),1,4)</f>
        <v>W102</v>
      </c>
      <c r="AV26" s="538" t="str">
        <f>+IF(ISBLANK(INDEX(WORLDCUP!$AD$101:$AD$147,MATCH(AT26,WORLDCUP!$Z$101:$Z$147,0))),"",INDEX(WORLDCUP!$AD$101:$AD$147,MATCH(AT26,WORLDCUP!$Z$101:$Z$147,0)))</f>
        <v/>
      </c>
      <c r="AW26" s="433" t="str">
        <f>+IF(ISBLANK(INDEX(WORLDCUP!$AE$101:$AE$147,MATCH(AT26,WORLDCUP!$Z$101:$Z$147,0))),"","( "&amp;INDEX(WORLDCUP!$AE$101:$AE$147,MATCH(AT26,WORLDCUP!$Z$101:$Z$147,0))&amp;" )")</f>
        <v/>
      </c>
      <c r="AX26" s="181"/>
      <c r="AY26" s="527"/>
      <c r="AZ26" s="541"/>
      <c r="BA26" s="530"/>
      <c r="BB26" s="533"/>
      <c r="BC26" s="529"/>
      <c r="BD26" s="153"/>
      <c r="BE26" s="153"/>
      <c r="BG26" s="462" t="str">
        <f ca="1">Horarios!Q25</f>
        <v>Iraq</v>
      </c>
      <c r="BH26" s="463">
        <f t="shared" ca="1" si="0"/>
        <v>1</v>
      </c>
      <c r="BI26" s="463">
        <f ca="1">COUNTIF(Pool!$C$130:$C$161,Fixture!BG26)-BJ26-BK26-BL26-BM26-BN26-BO26</f>
        <v>0</v>
      </c>
      <c r="BJ26" s="464">
        <f ca="1">COUNTIF(Pool!$C$182:$C$197,Fixture!BG26)-BK26-BL26-BM26-BN26-BO26</f>
        <v>0</v>
      </c>
      <c r="BK26" s="465">
        <f ca="1">COUNTIF(Pool!$C$210:$C$217,Fixture!BG26)-BL26-BM26-BN26-BO26</f>
        <v>0</v>
      </c>
      <c r="BL26" s="465">
        <f ca="1">COUNTIF(Pool!$C$226:$C$229,Fixture!BG26)-BM26-BN26-BO26</f>
        <v>0</v>
      </c>
      <c r="BM26" s="463">
        <f ca="1">COUNTIF(Pool!$C$252,Fixture!BG26)</f>
        <v>0</v>
      </c>
      <c r="BN26" s="463">
        <f ca="1">COUNTIF(Pool!$C$251,Fixture!BG26)</f>
        <v>0</v>
      </c>
      <c r="BO26" s="466">
        <f ca="1">COUNTIF(Pool!$C$250,Fixture!BG26)</f>
        <v>0</v>
      </c>
    </row>
    <row r="27" spans="1:67" ht="16" thickBot="1" x14ac:dyDescent="0.25">
      <c r="A27" s="181">
        <v>4</v>
      </c>
      <c r="B27" s="542" t="s">
        <v>74</v>
      </c>
      <c r="C27" s="417" t="str">
        <f ca="1">+MID(INDEX(WORLDCUP!$AA$4:$AA$147,MATCH(A27,WORLDCUP!$AH$4:$AH$147,0)),1,3)</f>
        <v>Uni</v>
      </c>
      <c r="D27" s="418" t="str">
        <f>IF(ISBLANK(INDEX(WORLDCUP!$AC$4:$AC$147,MATCH(A27,WORLDCUP!$AH$4:$AH$147,0))),"",INDEX(WORLDCUP!$AC$4:$AC$147,MATCH(A27,WORLDCUP!$AH$4:$AH$147,0)))</f>
        <v/>
      </c>
      <c r="E27" s="418" t="str">
        <f>IF(ISBLANK(INDEX(WORLDCUP!$AD$4:$AD$147,MATCH(A27,WORLDCUP!$AH$4:$AH$147,0))),"",INDEX(WORLDCUP!$AD$4:$AD$147,MATCH(A27,WORLDCUP!$AH$4:$AH$147,0)))</f>
        <v/>
      </c>
      <c r="F27" s="419" t="str">
        <f ca="1">+MID(INDEX(WORLDCUP!$AF$4:$AF$147,MATCH(A27,WORLDCUP!$AH$4:$AH$147,0)),1,3)</f>
        <v>Par</v>
      </c>
      <c r="G27" s="420"/>
      <c r="H27" s="421" t="str">
        <f>+H19</f>
        <v>Nat</v>
      </c>
      <c r="I27" s="422" t="str">
        <f>+I19</f>
        <v>Pts</v>
      </c>
      <c r="J27" s="422" t="str">
        <f>+J19</f>
        <v>GD</v>
      </c>
      <c r="K27" s="423" t="str">
        <f>+K19</f>
        <v>F-A</v>
      </c>
      <c r="L27" s="181"/>
      <c r="M27" s="181">
        <v>19</v>
      </c>
      <c r="N27" s="543" t="s">
        <v>5</v>
      </c>
      <c r="O27" s="417" t="str">
        <f ca="1">+MID(INDEX(WORLDCUP!$AA$4:$AA$147,MATCH(M27,WORLDCUP!$AH$4:$AH$147,0)),1,3)</f>
        <v>Arg</v>
      </c>
      <c r="P27" s="418" t="str">
        <f>IF(ISBLANK(INDEX(WORLDCUP!$AC$4:$AC$147,MATCH(M27,WORLDCUP!$AH$4:$AH$147,0))),"",INDEX(WORLDCUP!$AC$4:$AC$147,MATCH(M27,WORLDCUP!$AH$4:$AH$147,0)))</f>
        <v/>
      </c>
      <c r="Q27" s="418" t="str">
        <f>IF(ISBLANK(INDEX(WORLDCUP!$AD$4:$AD$147,MATCH(M27,WORLDCUP!$AH$4:$AH$147,0))),"",INDEX(WORLDCUP!$AD$4:$AD$147,MATCH(M27,WORLDCUP!$AH$4:$AH$147,0)))</f>
        <v/>
      </c>
      <c r="R27" s="419" t="str">
        <f ca="1">+MID(INDEX(WORLDCUP!$AF$4:$AF$147,MATCH(M27,WORLDCUP!$AH$4:$AH$147,0)),1,3)</f>
        <v>Alg</v>
      </c>
      <c r="S27" s="420"/>
      <c r="T27" s="421" t="str">
        <f>+T19</f>
        <v>Nat</v>
      </c>
      <c r="U27" s="422" t="str">
        <f>+U19</f>
        <v>Pts</v>
      </c>
      <c r="V27" s="422" t="str">
        <f>+V19</f>
        <v>GD</v>
      </c>
      <c r="W27" s="423" t="str">
        <f>+W19</f>
        <v>F-A</v>
      </c>
      <c r="X27" s="181"/>
      <c r="Y27" s="181">
        <v>76</v>
      </c>
      <c r="Z27" s="425" t="s">
        <v>662</v>
      </c>
      <c r="AA27" s="426" t="str">
        <f ca="1">+MID(INDEX(WORLDCUP!$AA$101:$AA$147,MATCH(Y27,WORLDCUP!$Z$101:$Z$147,0)),1,3)</f>
        <v>1C</v>
      </c>
      <c r="AB27" s="427" t="str">
        <f>+IF(ISBLANK(INDEX(WORLDCUP!$AC$101:$AC$147,MATCH(Y27,WORLDCUP!$Z$101:$Z$147,0))),"",INDEX(WORLDCUP!$AC$101:$AC$147,MATCH(Y27,WORLDCUP!$Z$101:$Z$147,0)))</f>
        <v/>
      </c>
      <c r="AC27" s="498" t="str">
        <f>+IF(ISBLANK(INDEX(WORLDCUP!$AB$101:$AB$147,MATCH(Y27,WORLDCUP!$Z$101:$Z$147,0))),"","( "&amp;INDEX(WORLDCUP!$AB$101:$AB$147,MATCH(Y27,WORLDCUP!$Z$101:$Z$147,0))&amp;" )")</f>
        <v/>
      </c>
      <c r="AD27" s="179"/>
      <c r="AE27" s="429"/>
      <c r="AF27" s="429"/>
      <c r="AG27" s="429"/>
      <c r="AH27" s="181"/>
      <c r="AI27" s="459"/>
      <c r="AJ27" s="459"/>
      <c r="AK27" s="459"/>
      <c r="AL27" s="181"/>
      <c r="AM27" s="431"/>
      <c r="AN27" s="431"/>
      <c r="AO27" s="512"/>
      <c r="AP27" s="415"/>
      <c r="AQ27" s="460"/>
      <c r="AR27" s="460"/>
      <c r="AS27" s="460"/>
      <c r="AT27" s="181"/>
      <c r="AU27" s="433"/>
      <c r="AV27" s="433"/>
      <c r="AW27" s="433"/>
      <c r="AX27" s="181"/>
      <c r="AY27" s="527"/>
      <c r="AZ27" s="541"/>
      <c r="BA27" s="530"/>
      <c r="BB27" s="533"/>
      <c r="BC27" s="529"/>
      <c r="BD27" s="153"/>
      <c r="BE27" s="153"/>
      <c r="BG27" s="462" t="str">
        <f ca="1">Horarios!Q26</f>
        <v>Ivory Coast</v>
      </c>
      <c r="BH27" s="463">
        <f t="shared" ca="1" si="0"/>
        <v>1</v>
      </c>
      <c r="BI27" s="463">
        <f ca="1">COUNTIF(Pool!$C$130:$C$161,Fixture!BG27)-BJ27-BK27-BL27-BM27-BN27-BO27</f>
        <v>0</v>
      </c>
      <c r="BJ27" s="464">
        <f ca="1">COUNTIF(Pool!$C$182:$C$197,Fixture!BG27)-BK27-BL27-BM27-BN27-BO27</f>
        <v>0</v>
      </c>
      <c r="BK27" s="465">
        <f ca="1">COUNTIF(Pool!$C$210:$C$217,Fixture!BG27)-BL27-BM27-BN27-BO27</f>
        <v>0</v>
      </c>
      <c r="BL27" s="465">
        <f ca="1">COUNTIF(Pool!$C$226:$C$229,Fixture!BG27)-BM27-BN27-BO27</f>
        <v>0</v>
      </c>
      <c r="BM27" s="463">
        <f ca="1">COUNTIF(Pool!$C$252,Fixture!BG27)</f>
        <v>0</v>
      </c>
      <c r="BN27" s="463">
        <f ca="1">COUNTIF(Pool!$C$251,Fixture!BG27)</f>
        <v>0</v>
      </c>
      <c r="BO27" s="466">
        <f ca="1">COUNTIF(Pool!$C$250,Fixture!BG27)</f>
        <v>0</v>
      </c>
    </row>
    <row r="28" spans="1:67" ht="16" thickBot="1" x14ac:dyDescent="0.25">
      <c r="A28" s="181">
        <v>6</v>
      </c>
      <c r="B28" s="544"/>
      <c r="C28" s="444" t="str">
        <f ca="1">+MID(INDEX(WORLDCUP!$AA$4:$AA$147,MATCH(A28,WORLDCUP!$AH$4:$AH$147,0)),1,3)</f>
        <v>Aus</v>
      </c>
      <c r="D28" s="445" t="str">
        <f>IF(ISBLANK(INDEX(WORLDCUP!$AC$4:$AC$147,MATCH(A28,WORLDCUP!$AH$4:$AH$147,0))),"",INDEX(WORLDCUP!$AC$4:$AC$147,MATCH(A28,WORLDCUP!$AH$4:$AH$147,0)))</f>
        <v/>
      </c>
      <c r="E28" s="445" t="str">
        <f>IF(ISBLANK(INDEX(WORLDCUP!$AD$4:$AD$147,MATCH(A28,WORLDCUP!$AH$4:$AH$147,0))),"",INDEX(WORLDCUP!$AD$4:$AD$147,MATCH(A28,WORLDCUP!$AH$4:$AH$147,0)))</f>
        <v/>
      </c>
      <c r="F28" s="446" t="str">
        <f ca="1">+MID(INDEX(WORLDCUP!$AF$4:$AF$147,MATCH(A28,WORLDCUP!$AH$4:$AH$147,0)),1,3)</f>
        <v>Tur</v>
      </c>
      <c r="G28" s="447">
        <v>1</v>
      </c>
      <c r="H28" s="448" t="str">
        <f ca="1">+MID(INDEX(WORLDCUP!$AL$6:$AL$97,MATCH(L28,WORLDCUP!$AI$6:$AI$97,0)),1,3)</f>
        <v>Uni</v>
      </c>
      <c r="I28" s="449">
        <f ca="1">+INDEX(WORLDCUP!$AM$6:$AM$97,MATCH(L28,WORLDCUP!$AI$6:$AI$97,0))</f>
        <v>0</v>
      </c>
      <c r="J28" s="450">
        <f ca="1">+INDEX(WORLDCUP!$AT$6:$AT$97,MATCH(L28,WORLDCUP!$AI$6:$AI$97,0))</f>
        <v>0</v>
      </c>
      <c r="K28" s="451" t="str">
        <f ca="1">+INDEX(WORLDCUP!$AR$6:$AR$97,MATCH(L28,WORLDCUP!$AI$6:$AI$97,0))&amp;"-"&amp;INDEX(WORLDCUP!$AS$6:$AS$97,MATCH(L28,WORLDCUP!$AI$6:$AI$97,0))</f>
        <v>0-0</v>
      </c>
      <c r="L28" s="181" t="s">
        <v>669</v>
      </c>
      <c r="M28" s="181">
        <v>20</v>
      </c>
      <c r="N28" s="545"/>
      <c r="O28" s="444" t="str">
        <f ca="1">+MID(INDEX(WORLDCUP!$AA$4:$AA$147,MATCH(M28,WORLDCUP!$AH$4:$AH$147,0)),1,3)</f>
        <v>Aus</v>
      </c>
      <c r="P28" s="445" t="str">
        <f>IF(ISBLANK(INDEX(WORLDCUP!$AC$4:$AC$147,MATCH(M28,WORLDCUP!$AH$4:$AH$147,0))),"",INDEX(WORLDCUP!$AC$4:$AC$147,MATCH(M28,WORLDCUP!$AH$4:$AH$147,0)))</f>
        <v/>
      </c>
      <c r="Q28" s="445" t="str">
        <f>IF(ISBLANK(INDEX(WORLDCUP!$AD$4:$AD$147,MATCH(M28,WORLDCUP!$AH$4:$AH$147,0))),"",INDEX(WORLDCUP!$AD$4:$AD$147,MATCH(M28,WORLDCUP!$AH$4:$AH$147,0)))</f>
        <v/>
      </c>
      <c r="R28" s="446" t="str">
        <f ca="1">+MID(INDEX(WORLDCUP!$AF$4:$AF$147,MATCH(M28,WORLDCUP!$AH$4:$AH$147,0)),1,3)</f>
        <v>Jor</v>
      </c>
      <c r="S28" s="447">
        <v>1</v>
      </c>
      <c r="T28" s="448" t="str">
        <f ca="1">+MID(INDEX(WORLDCUP!$AL$6:$AL$97,MATCH(X28,WORLDCUP!$AI$6:$AI$97,0)),1,3)</f>
        <v>Arg</v>
      </c>
      <c r="U28" s="449">
        <f ca="1">+INDEX(WORLDCUP!$AM$6:$AM$97,MATCH(X28,WORLDCUP!$AI$6:$AI$97,0))</f>
        <v>0</v>
      </c>
      <c r="V28" s="450">
        <f ca="1">+INDEX(WORLDCUP!$AT$6:$AT$97,MATCH(X28,WORLDCUP!$AI$6:$AI$97,0))</f>
        <v>0</v>
      </c>
      <c r="W28" s="451" t="str">
        <f ca="1">+INDEX(WORLDCUP!$AR$6:$AR$97,MATCH(X28,WORLDCUP!$AI$6:$AI$97,0))&amp;"-"&amp;INDEX(WORLDCUP!$AS$6:$AS$97,MATCH(X28,WORLDCUP!$AI$6:$AI$97,0))</f>
        <v>0-0</v>
      </c>
      <c r="X28" s="181" t="s">
        <v>687</v>
      </c>
      <c r="Y28" s="181">
        <v>76</v>
      </c>
      <c r="Z28" s="425" t="s">
        <v>676</v>
      </c>
      <c r="AA28" s="426" t="str">
        <f ca="1">+MID(INDEX(WORLDCUP!$AF$101:$AF$147,MATCH(Y28,WORLDCUP!$Z$101:$Z$147,0)),1,3)</f>
        <v>2F</v>
      </c>
      <c r="AB28" s="453" t="str">
        <f>+IF(ISBLANK(INDEX(WORLDCUP!$AD$101:$AD$147,MATCH(Y28,WORLDCUP!$Z$101:$Z$147,0))),"",INDEX(WORLDCUP!$AD$101:$AD$147,MATCH(Y28,WORLDCUP!$Z$101:$Z$147,0)))</f>
        <v/>
      </c>
      <c r="AC28" s="454" t="str">
        <f>+IF(ISBLANK(INDEX(WORLDCUP!$AE$101:$AE$147,MATCH(Y28,WORLDCUP!$Z$101:$Z$147,0))),"","( "&amp;INDEX(WORLDCUP!$AE$101:$AE$147,MATCH(Y28,WORLDCUP!$Z$101:$Z$147,0))&amp;" )")</f>
        <v/>
      </c>
      <c r="AD28" s="455">
        <v>91</v>
      </c>
      <c r="AE28" s="456" t="str">
        <f>+MID(INDEX(WORLDCUP!$AA$101:$AA$147,MATCH(AD28,WORLDCUP!$Z$101:$Z$147,0)),1,3)</f>
        <v>W76</v>
      </c>
      <c r="AF28" s="457" t="str">
        <f>+IF(ISBLANK(INDEX(WORLDCUP!$AC$101:$AC$147,MATCH(AD28,WORLDCUP!$Z$101:$Z$147,0))),"",INDEX(WORLDCUP!$AC$101:$AC$147,MATCH(AD28,WORLDCUP!$Z$101:$Z$147,0)))</f>
        <v/>
      </c>
      <c r="AG28" s="458" t="str">
        <f>+IF(ISBLANK(INDEX(WORLDCUP!$AB$101:$AB$147,MATCH(AD28,WORLDCUP!$Z$101:$Z$147,0))),"","( "&amp;INDEX(WORLDCUP!$AB$101:$AB$147,MATCH(AD28,WORLDCUP!$Z$101:$Z$147,0))&amp;" )")</f>
        <v/>
      </c>
      <c r="AH28" s="181"/>
      <c r="AI28" s="459"/>
      <c r="AJ28" s="459"/>
      <c r="AK28" s="459"/>
      <c r="AL28" s="181"/>
      <c r="AM28" s="431"/>
      <c r="AN28" s="431"/>
      <c r="AO28" s="512"/>
      <c r="AP28" s="415"/>
      <c r="AQ28" s="460"/>
      <c r="AR28" s="460"/>
      <c r="AS28" s="460"/>
      <c r="AT28" s="181"/>
      <c r="AU28" s="433"/>
      <c r="AV28" s="433"/>
      <c r="AW28" s="433"/>
      <c r="AX28" s="181"/>
      <c r="AY28" s="527"/>
      <c r="AZ28" s="541"/>
      <c r="BA28" s="530"/>
      <c r="BB28" s="533"/>
      <c r="BC28" s="529"/>
      <c r="BD28" s="153"/>
      <c r="BE28" s="153"/>
      <c r="BG28" s="462" t="str">
        <f ca="1">Horarios!Q27</f>
        <v>Japan</v>
      </c>
      <c r="BH28" s="463">
        <f t="shared" ca="1" si="0"/>
        <v>1</v>
      </c>
      <c r="BI28" s="463">
        <f ca="1">COUNTIF(Pool!$C$130:$C$161,Fixture!BG28)-BJ28-BK28-BL28-BM28-BN28-BO28</f>
        <v>0</v>
      </c>
      <c r="BJ28" s="464">
        <f ca="1">COUNTIF(Pool!$C$182:$C$197,Fixture!BG28)-BK28-BL28-BM28-BN28-BO28</f>
        <v>0</v>
      </c>
      <c r="BK28" s="465">
        <f ca="1">COUNTIF(Pool!$C$210:$C$217,Fixture!BG28)-BL28-BM28-BN28-BO28</f>
        <v>0</v>
      </c>
      <c r="BL28" s="465">
        <f ca="1">COUNTIF(Pool!$C$226:$C$229,Fixture!BG28)-BM28-BN28-BO28</f>
        <v>0</v>
      </c>
      <c r="BM28" s="463">
        <f ca="1">COUNTIF(Pool!$C$252,Fixture!BG28)</f>
        <v>0</v>
      </c>
      <c r="BN28" s="463">
        <f ca="1">COUNTIF(Pool!$C$251,Fixture!BG28)</f>
        <v>0</v>
      </c>
      <c r="BO28" s="466">
        <f ca="1">COUNTIF(Pool!$C$250,Fixture!BG28)</f>
        <v>0</v>
      </c>
    </row>
    <row r="29" spans="1:67" x14ac:dyDescent="0.2">
      <c r="A29" s="181">
        <v>32</v>
      </c>
      <c r="B29" s="544"/>
      <c r="C29" s="444" t="str">
        <f ca="1">+MID(INDEX(WORLDCUP!$AA$4:$AA$147,MATCH(A29,WORLDCUP!$AH$4:$AH$147,0)),1,3)</f>
        <v>Uni</v>
      </c>
      <c r="D29" s="445" t="str">
        <f>IF(ISBLANK(INDEX(WORLDCUP!$AC$4:$AC$147,MATCH(A29,WORLDCUP!$AH$4:$AH$147,0))),"",INDEX(WORLDCUP!$AC$4:$AC$147,MATCH(A29,WORLDCUP!$AH$4:$AH$147,0)))</f>
        <v/>
      </c>
      <c r="E29" s="445" t="str">
        <f>IF(ISBLANK(INDEX(WORLDCUP!$AD$4:$AD$147,MATCH(A29,WORLDCUP!$AH$4:$AH$147,0))),"",INDEX(WORLDCUP!$AD$4:$AD$147,MATCH(A29,WORLDCUP!$AH$4:$AH$147,0)))</f>
        <v/>
      </c>
      <c r="F29" s="446" t="str">
        <f ca="1">+MID(INDEX(WORLDCUP!$AF$4:$AF$147,MATCH(A29,WORLDCUP!$AH$4:$AH$147,0)),1,3)</f>
        <v>Aus</v>
      </c>
      <c r="G29" s="467">
        <v>2</v>
      </c>
      <c r="H29" s="468" t="str">
        <f ca="1">+MID(INDEX(WORLDCUP!$AL$6:$AL$97,MATCH(L29,WORLDCUP!$AI$6:$AI$97,0)),1,3)</f>
        <v>Par</v>
      </c>
      <c r="I29" s="38">
        <f ca="1">+INDEX(WORLDCUP!$AM$6:$AM$97,MATCH(L29,WORLDCUP!$AI$6:$AI$97,0))</f>
        <v>0</v>
      </c>
      <c r="J29" s="39">
        <f ca="1">+INDEX(WORLDCUP!$AT$6:$AT$97,MATCH(L29,WORLDCUP!$AI$6:$AI$97,0))</f>
        <v>0</v>
      </c>
      <c r="K29" s="43" t="str">
        <f ca="1">+INDEX(WORLDCUP!$AR$6:$AR$97,MATCH(L29,WORLDCUP!$AI$6:$AI$97,0))&amp;"-"&amp;INDEX(WORLDCUP!$AS$6:$AS$97,MATCH(L29,WORLDCUP!$AI$6:$AI$97,0))</f>
        <v>0-0</v>
      </c>
      <c r="L29" s="181" t="s">
        <v>670</v>
      </c>
      <c r="M29" s="181">
        <v>43</v>
      </c>
      <c r="N29" s="545"/>
      <c r="O29" s="444" t="str">
        <f ca="1">+MID(INDEX(WORLDCUP!$AA$4:$AA$147,MATCH(M29,WORLDCUP!$AH$4:$AH$147,0)),1,3)</f>
        <v>Arg</v>
      </c>
      <c r="P29" s="445" t="str">
        <f>IF(ISBLANK(INDEX(WORLDCUP!$AC$4:$AC$147,MATCH(M29,WORLDCUP!$AH$4:$AH$147,0))),"",INDEX(WORLDCUP!$AC$4:$AC$147,MATCH(M29,WORLDCUP!$AH$4:$AH$147,0)))</f>
        <v/>
      </c>
      <c r="Q29" s="445" t="str">
        <f>IF(ISBLANK(INDEX(WORLDCUP!$AD$4:$AD$147,MATCH(M29,WORLDCUP!$AH$4:$AH$147,0))),"",INDEX(WORLDCUP!$AD$4:$AD$147,MATCH(M29,WORLDCUP!$AH$4:$AH$147,0)))</f>
        <v/>
      </c>
      <c r="R29" s="446" t="str">
        <f ca="1">+MID(INDEX(WORLDCUP!$AF$4:$AF$147,MATCH(M29,WORLDCUP!$AH$4:$AH$147,0)),1,3)</f>
        <v>Aus</v>
      </c>
      <c r="S29" s="467">
        <v>2</v>
      </c>
      <c r="T29" s="468" t="str">
        <f ca="1">+MID(INDEX(WORLDCUP!$AL$6:$AL$97,MATCH(X29,WORLDCUP!$AI$6:$AI$97,0)),1,3)</f>
        <v>Alg</v>
      </c>
      <c r="U29" s="38">
        <f ca="1">+INDEX(WORLDCUP!$AM$6:$AM$97,MATCH(X29,WORLDCUP!$AI$6:$AI$97,0))</f>
        <v>0</v>
      </c>
      <c r="V29" s="39">
        <f ca="1">+INDEX(WORLDCUP!$AT$6:$AT$97,MATCH(X29,WORLDCUP!$AI$6:$AI$97,0))</f>
        <v>0</v>
      </c>
      <c r="W29" s="43" t="str">
        <f ca="1">+INDEX(WORLDCUP!$AR$6:$AR$97,MATCH(X29,WORLDCUP!$AI$6:$AI$97,0))&amp;"-"&amp;INDEX(WORLDCUP!$AS$6:$AS$97,MATCH(X29,WORLDCUP!$AI$6:$AI$97,0))</f>
        <v>0-0</v>
      </c>
      <c r="X29" s="181" t="s">
        <v>688</v>
      </c>
      <c r="Y29" s="181"/>
      <c r="Z29" s="425"/>
      <c r="AA29" s="469"/>
      <c r="AB29" s="469"/>
      <c r="AC29" s="470"/>
      <c r="AD29" s="181">
        <v>91</v>
      </c>
      <c r="AE29" s="456" t="str">
        <f>+MID(INDEX(WORLDCUP!$AF$101:$AF$147,MATCH(AD29,WORLDCUP!$Z$101:$Z$147,0)),1,3)</f>
        <v>W78</v>
      </c>
      <c r="AF29" s="457" t="str">
        <f>+IF(ISBLANK(INDEX(WORLDCUP!$AD$101:$AD$147,MATCH(AD29,WORLDCUP!$Z$101:$Z$147,0))),"",INDEX(WORLDCUP!$AD$101:$AD$147,MATCH(AD29,WORLDCUP!$Z$101:$Z$147,0)))</f>
        <v/>
      </c>
      <c r="AG29" s="515" t="str">
        <f>+IF(ISBLANK(INDEX(WORLDCUP!$AE$101:$AE$147,MATCH(AD29,WORLDCUP!$Z$101:$Z$147,0))),"","( "&amp;INDEX(WORLDCUP!$AE$101:$AE$147,MATCH(AD29,WORLDCUP!$Z$101:$Z$147,0))&amp;" )")</f>
        <v/>
      </c>
      <c r="AH29" s="181"/>
      <c r="AI29" s="459"/>
      <c r="AJ29" s="459"/>
      <c r="AK29" s="459"/>
      <c r="AL29" s="181"/>
      <c r="AM29" s="431"/>
      <c r="AN29" s="431"/>
      <c r="AO29" s="512"/>
      <c r="AP29" s="415"/>
      <c r="AQ29" s="460"/>
      <c r="AR29" s="460"/>
      <c r="AS29" s="460"/>
      <c r="AT29" s="181"/>
      <c r="AU29" s="433"/>
      <c r="AV29" s="433"/>
      <c r="AW29" s="433"/>
      <c r="AX29" s="181"/>
      <c r="AY29" s="527"/>
      <c r="AZ29" s="541"/>
      <c r="BA29" s="530"/>
      <c r="BB29" s="533"/>
      <c r="BC29" s="529"/>
      <c r="BD29" s="153"/>
      <c r="BE29" s="153"/>
      <c r="BG29" s="462" t="str">
        <f ca="1">Horarios!Q28</f>
        <v>Jordan</v>
      </c>
      <c r="BH29" s="463">
        <f t="shared" ca="1" si="0"/>
        <v>1</v>
      </c>
      <c r="BI29" s="463">
        <f ca="1">COUNTIF(Pool!$C$130:$C$161,Fixture!BG29)-BJ29-BK29-BL29-BM29-BN29-BO29</f>
        <v>0</v>
      </c>
      <c r="BJ29" s="464">
        <f ca="1">COUNTIF(Pool!$C$182:$C$197,Fixture!BG29)-BK29-BL29-BM29-BN29-BO29</f>
        <v>0</v>
      </c>
      <c r="BK29" s="465">
        <f ca="1">COUNTIF(Pool!$C$210:$C$217,Fixture!BG29)-BL29-BM29-BN29-BO29</f>
        <v>0</v>
      </c>
      <c r="BL29" s="465">
        <f ca="1">COUNTIF(Pool!$C$226:$C$229,Fixture!BG29)-BM29-BN29-BO29</f>
        <v>0</v>
      </c>
      <c r="BM29" s="463">
        <f ca="1">COUNTIF(Pool!$C$252,Fixture!BG29)</f>
        <v>0</v>
      </c>
      <c r="BN29" s="463">
        <f ca="1">COUNTIF(Pool!$C$251,Fixture!BG29)</f>
        <v>0</v>
      </c>
      <c r="BO29" s="466">
        <f ca="1">COUNTIF(Pool!$C$250,Fixture!BG29)</f>
        <v>0</v>
      </c>
    </row>
    <row r="30" spans="1:67" ht="16" thickBot="1" x14ac:dyDescent="0.25">
      <c r="A30" s="181">
        <v>31</v>
      </c>
      <c r="B30" s="544"/>
      <c r="C30" s="444" t="str">
        <f ca="1">+MID(INDEX(WORLDCUP!$AA$4:$AA$147,MATCH(A30,WORLDCUP!$AH$4:$AH$147,0)),1,3)</f>
        <v>Tur</v>
      </c>
      <c r="D30" s="445" t="str">
        <f>IF(ISBLANK(INDEX(WORLDCUP!$AC$4:$AC$147,MATCH(A30,WORLDCUP!$AH$4:$AH$147,0))),"",INDEX(WORLDCUP!$AC$4:$AC$147,MATCH(A30,WORLDCUP!$AH$4:$AH$147,0)))</f>
        <v/>
      </c>
      <c r="E30" s="445" t="str">
        <f>IF(ISBLANK(INDEX(WORLDCUP!$AD$4:$AD$147,MATCH(A30,WORLDCUP!$AH$4:$AH$147,0))),"",INDEX(WORLDCUP!$AD$4:$AD$147,MATCH(A30,WORLDCUP!$AH$4:$AH$147,0)))</f>
        <v/>
      </c>
      <c r="F30" s="446" t="str">
        <f ca="1">+MID(INDEX(WORLDCUP!$AF$4:$AF$147,MATCH(A30,WORLDCUP!$AH$4:$AH$147,0)),1,3)</f>
        <v>Par</v>
      </c>
      <c r="G30" s="467">
        <v>3</v>
      </c>
      <c r="H30" s="468" t="str">
        <f ca="1">+MID(INDEX(WORLDCUP!$AL$6:$AL$97,MATCH(L30,WORLDCUP!$AI$6:$AI$97,0)),1,3)</f>
        <v>Aus</v>
      </c>
      <c r="I30" s="38">
        <f ca="1">+INDEX(WORLDCUP!$AM$6:$AM$97,MATCH(L30,WORLDCUP!$AI$6:$AI$97,0))</f>
        <v>0</v>
      </c>
      <c r="J30" s="39">
        <f ca="1">+INDEX(WORLDCUP!$AT$6:$AT$97,MATCH(L30,WORLDCUP!$AI$6:$AI$97,0))</f>
        <v>0</v>
      </c>
      <c r="K30" s="43" t="str">
        <f ca="1">+INDEX(WORLDCUP!$AR$6:$AR$97,MATCH(L30,WORLDCUP!$AI$6:$AI$97,0))&amp;"-"&amp;INDEX(WORLDCUP!$AS$6:$AS$97,MATCH(L30,WORLDCUP!$AI$6:$AI$97,0))</f>
        <v>0-0</v>
      </c>
      <c r="L30" s="181" t="s">
        <v>93</v>
      </c>
      <c r="M30" s="181">
        <v>44</v>
      </c>
      <c r="N30" s="545"/>
      <c r="O30" s="444" t="str">
        <f ca="1">+MID(INDEX(WORLDCUP!$AA$4:$AA$147,MATCH(M30,WORLDCUP!$AH$4:$AH$147,0)),1,3)</f>
        <v>Jor</v>
      </c>
      <c r="P30" s="445" t="str">
        <f>IF(ISBLANK(INDEX(WORLDCUP!$AC$4:$AC$147,MATCH(M30,WORLDCUP!$AH$4:$AH$147,0))),"",INDEX(WORLDCUP!$AC$4:$AC$147,MATCH(M30,WORLDCUP!$AH$4:$AH$147,0)))</f>
        <v/>
      </c>
      <c r="Q30" s="445" t="str">
        <f>IF(ISBLANK(INDEX(WORLDCUP!$AD$4:$AD$147,MATCH(M30,WORLDCUP!$AH$4:$AH$147,0))),"",INDEX(WORLDCUP!$AD$4:$AD$147,MATCH(M30,WORLDCUP!$AH$4:$AH$147,0)))</f>
        <v/>
      </c>
      <c r="R30" s="446" t="str">
        <f ca="1">+MID(INDEX(WORLDCUP!$AF$4:$AF$147,MATCH(M30,WORLDCUP!$AH$4:$AH$147,0)),1,3)</f>
        <v>Alg</v>
      </c>
      <c r="S30" s="467">
        <v>3</v>
      </c>
      <c r="T30" s="468" t="str">
        <f ca="1">+MID(INDEX(WORLDCUP!$AL$6:$AL$97,MATCH(X30,WORLDCUP!$AI$6:$AI$97,0)),1,3)</f>
        <v>Aus</v>
      </c>
      <c r="U30" s="38">
        <f ca="1">+INDEX(WORLDCUP!$AM$6:$AM$97,MATCH(X30,WORLDCUP!$AI$6:$AI$97,0))</f>
        <v>0</v>
      </c>
      <c r="V30" s="39">
        <f ca="1">+INDEX(WORLDCUP!$AT$6:$AT$97,MATCH(X30,WORLDCUP!$AI$6:$AI$97,0))</f>
        <v>0</v>
      </c>
      <c r="W30" s="43" t="str">
        <f ca="1">+INDEX(WORLDCUP!$AR$6:$AR$97,MATCH(X30,WORLDCUP!$AI$6:$AI$97,0))&amp;"-"&amp;INDEX(WORLDCUP!$AS$6:$AS$97,MATCH(X30,WORLDCUP!$AI$6:$AI$97,0))</f>
        <v>0-0</v>
      </c>
      <c r="X30" s="181" t="s">
        <v>451</v>
      </c>
      <c r="Y30" s="181">
        <v>78</v>
      </c>
      <c r="Z30" s="425" t="s">
        <v>673</v>
      </c>
      <c r="AA30" s="426" t="str">
        <f ca="1">+MID(INDEX(WORLDCUP!$AA$101:$AA$147,MATCH(Y30,WORLDCUP!$Z$101:$Z$147,0)),1,3)</f>
        <v>2E</v>
      </c>
      <c r="AB30" s="472" t="str">
        <f>+IF(ISBLANK(INDEX(WORLDCUP!$AC$101:$AC$147,MATCH(Y30,WORLDCUP!$Z$101:$Z$147,0))),"",INDEX(WORLDCUP!$AC$101:$AC$147,MATCH(Y30,WORLDCUP!$Z$101:$Z$147,0)))</f>
        <v/>
      </c>
      <c r="AC30" s="506" t="str">
        <f>+IF(ISBLANK(INDEX(WORLDCUP!$AB$101:$AB$147,MATCH(Y30,WORLDCUP!$Z$101:$Z$147,0))),"","( "&amp;INDEX(WORLDCUP!$AB$101:$AB$147,MATCH(Y30,WORLDCUP!$Z$101:$Z$147,0))&amp;" )")</f>
        <v/>
      </c>
      <c r="AD30" s="181"/>
      <c r="AE30" s="474"/>
      <c r="AF30" s="474"/>
      <c r="AG30" s="475"/>
      <c r="AH30" s="181"/>
      <c r="AI30" s="459"/>
      <c r="AJ30" s="459"/>
      <c r="AK30" s="459"/>
      <c r="AL30" s="181"/>
      <c r="AM30" s="431"/>
      <c r="AN30" s="431"/>
      <c r="AO30" s="512"/>
      <c r="AP30" s="181"/>
      <c r="AQ30" s="460"/>
      <c r="AR30" s="460"/>
      <c r="AS30" s="460"/>
      <c r="AT30" s="181"/>
      <c r="AU30" s="433"/>
      <c r="AV30" s="433"/>
      <c r="AW30" s="433"/>
      <c r="AX30" s="181"/>
      <c r="AY30" s="527"/>
      <c r="AZ30" s="541"/>
      <c r="BA30" s="530"/>
      <c r="BB30" s="533"/>
      <c r="BC30" s="529"/>
      <c r="BD30" s="153"/>
      <c r="BE30" s="153"/>
      <c r="BG30" s="462" t="str">
        <f ca="1">Horarios!Q29</f>
        <v>Mexico</v>
      </c>
      <c r="BH30" s="463">
        <f t="shared" ca="1" si="0"/>
        <v>1</v>
      </c>
      <c r="BI30" s="463">
        <f ca="1">COUNTIF(Pool!$C$130:$C$161,Fixture!BG30)-BJ30-BK30-BL30-BM30-BN30-BO30</f>
        <v>0</v>
      </c>
      <c r="BJ30" s="464">
        <f ca="1">COUNTIF(Pool!$C$182:$C$197,Fixture!BG30)-BK30-BL30-BM30-BN30-BO30</f>
        <v>0</v>
      </c>
      <c r="BK30" s="465">
        <f ca="1">COUNTIF(Pool!$C$210:$C$217,Fixture!BG30)-BL30-BM30-BN30-BO30</f>
        <v>0</v>
      </c>
      <c r="BL30" s="465">
        <f ca="1">COUNTIF(Pool!$C$226:$C$229,Fixture!BG30)-BM30-BN30-BO30</f>
        <v>0</v>
      </c>
      <c r="BM30" s="463">
        <f ca="1">COUNTIF(Pool!$C$252,Fixture!BG30)</f>
        <v>0</v>
      </c>
      <c r="BN30" s="463">
        <f ca="1">COUNTIF(Pool!$C$251,Fixture!BG30)</f>
        <v>0</v>
      </c>
      <c r="BO30" s="466">
        <f ca="1">COUNTIF(Pool!$C$250,Fixture!BG30)</f>
        <v>0</v>
      </c>
    </row>
    <row r="31" spans="1:67" ht="16" thickBot="1" x14ac:dyDescent="0.25">
      <c r="A31" s="181">
        <v>59</v>
      </c>
      <c r="B31" s="544"/>
      <c r="C31" s="444" t="str">
        <f ca="1">+MID(INDEX(WORLDCUP!$AA$4:$AA$147,MATCH(A31,WORLDCUP!$AH$4:$AH$147,0)),1,3)</f>
        <v>Tur</v>
      </c>
      <c r="D31" s="445" t="str">
        <f>IF(ISBLANK(INDEX(WORLDCUP!$AC$4:$AC$147,MATCH(A31,WORLDCUP!$AH$4:$AH$147,0))),"",INDEX(WORLDCUP!$AC$4:$AC$147,MATCH(A31,WORLDCUP!$AH$4:$AH$147,0)))</f>
        <v/>
      </c>
      <c r="E31" s="445" t="str">
        <f>IF(ISBLANK(INDEX(WORLDCUP!$AD$4:$AD$147,MATCH(A31,WORLDCUP!$AH$4:$AH$147,0))),"",INDEX(WORLDCUP!$AD$4:$AD$147,MATCH(A31,WORLDCUP!$AH$4:$AH$147,0)))</f>
        <v/>
      </c>
      <c r="F31" s="446" t="str">
        <f ca="1">+MID(INDEX(WORLDCUP!$AF$4:$AF$147,MATCH(A31,WORLDCUP!$AH$4:$AH$147,0)),1,3)</f>
        <v>Uni</v>
      </c>
      <c r="G31" s="467">
        <v>4</v>
      </c>
      <c r="H31" s="476" t="str">
        <f ca="1">+MID(INDEX(WORLDCUP!$AL$6:$AL$97,MATCH(L31,WORLDCUP!$AI$6:$AI$97,0)),1,3)</f>
        <v>Tur</v>
      </c>
      <c r="I31" s="477">
        <f ca="1">+INDEX(WORLDCUP!$AM$6:$AM$97,MATCH(L31,WORLDCUP!$AI$6:$AI$97,0))</f>
        <v>0</v>
      </c>
      <c r="J31" s="478">
        <f ca="1">+INDEX(WORLDCUP!$AT$6:$AT$97,MATCH(L31,WORLDCUP!$AI$6:$AI$97,0))</f>
        <v>0</v>
      </c>
      <c r="K31" s="479" t="str">
        <f ca="1">+INDEX(WORLDCUP!$AR$6:$AR$97,MATCH(L31,WORLDCUP!$AI$6:$AI$97,0))&amp;"-"&amp;INDEX(WORLDCUP!$AS$6:$AS$97,MATCH(L31,WORLDCUP!$AI$6:$AI$97,0))</f>
        <v>0-0</v>
      </c>
      <c r="L31" s="181" t="s">
        <v>671</v>
      </c>
      <c r="M31" s="181">
        <v>69</v>
      </c>
      <c r="N31" s="545"/>
      <c r="O31" s="444" t="str">
        <f ca="1">+MID(INDEX(WORLDCUP!$AA$4:$AA$147,MATCH(M31,WORLDCUP!$AH$4:$AH$147,0)),1,3)</f>
        <v>Alg</v>
      </c>
      <c r="P31" s="445" t="str">
        <f>IF(ISBLANK(INDEX(WORLDCUP!$AC$4:$AC$147,MATCH(M31,WORLDCUP!$AH$4:$AH$147,0))),"",INDEX(WORLDCUP!$AC$4:$AC$147,MATCH(M31,WORLDCUP!$AH$4:$AH$147,0)))</f>
        <v/>
      </c>
      <c r="Q31" s="445" t="str">
        <f>IF(ISBLANK(INDEX(WORLDCUP!$AD$4:$AD$147,MATCH(M31,WORLDCUP!$AH$4:$AH$147,0))),"",INDEX(WORLDCUP!$AD$4:$AD$147,MATCH(M31,WORLDCUP!$AH$4:$AH$147,0)))</f>
        <v/>
      </c>
      <c r="R31" s="446" t="str">
        <f ca="1">+MID(INDEX(WORLDCUP!$AF$4:$AF$147,MATCH(M31,WORLDCUP!$AH$4:$AH$147,0)),1,3)</f>
        <v>Aus</v>
      </c>
      <c r="S31" s="467">
        <v>4</v>
      </c>
      <c r="T31" s="476" t="str">
        <f ca="1">+MID(INDEX(WORLDCUP!$AL$6:$AL$97,MATCH(X31,WORLDCUP!$AI$6:$AI$97,0)),1,3)</f>
        <v>Jor</v>
      </c>
      <c r="U31" s="477">
        <f ca="1">+INDEX(WORLDCUP!$AM$6:$AM$97,MATCH(X31,WORLDCUP!$AI$6:$AI$97,0))</f>
        <v>0</v>
      </c>
      <c r="V31" s="478">
        <f ca="1">+INDEX(WORLDCUP!$AT$6:$AT$97,MATCH(X31,WORLDCUP!$AI$6:$AI$97,0))</f>
        <v>0</v>
      </c>
      <c r="W31" s="479" t="str">
        <f ca="1">+INDEX(WORLDCUP!$AR$6:$AR$97,MATCH(X31,WORLDCUP!$AI$6:$AI$97,0))&amp;"-"&amp;INDEX(WORLDCUP!$AS$6:$AS$97,MATCH(X31,WORLDCUP!$AI$6:$AI$97,0))</f>
        <v>0-0</v>
      </c>
      <c r="X31" s="181" t="s">
        <v>689</v>
      </c>
      <c r="Y31" s="181">
        <v>78</v>
      </c>
      <c r="Z31" s="425" t="s">
        <v>685</v>
      </c>
      <c r="AA31" s="480" t="str">
        <f ca="1">+MID(INDEX(WORLDCUP!$AF$101:$AF$147,MATCH(Y31,WORLDCUP!$Z$101:$Z$147,0)),1,3)</f>
        <v>2I</v>
      </c>
      <c r="AB31" s="481" t="str">
        <f>+IF(ISBLANK(INDEX(WORLDCUP!$AD$101:$AD$147,MATCH(Y31,WORLDCUP!$Z$101:$Z$147,0))),"",INDEX(WORLDCUP!$AD$101:$AD$147,MATCH(Y31,WORLDCUP!$Z$101:$Z$147,0)))</f>
        <v/>
      </c>
      <c r="AC31" s="507" t="str">
        <f>+IF(ISBLANK(INDEX(WORLDCUP!$AE$101:$AE$147,MATCH(Y31,WORLDCUP!$Z$101:$Z$147,0))),"","( "&amp;INDEX(WORLDCUP!$AE$101:$AE$147,MATCH(Y31,WORLDCUP!$Z$101:$Z$147,0))&amp;" )")</f>
        <v/>
      </c>
      <c r="AD31" s="181"/>
      <c r="AE31" s="474"/>
      <c r="AF31" s="474"/>
      <c r="AG31" s="475"/>
      <c r="AH31" s="500">
        <v>99</v>
      </c>
      <c r="AI31" s="483" t="str">
        <f>+MID(INDEX(WORLDCUP!$AA$101:$AA$147,MATCH(AH31,WORLDCUP!$Z$101:$Z$147,0)),1,3)</f>
        <v>W91</v>
      </c>
      <c r="AJ31" s="484" t="str">
        <f>+IF(ISBLANK(INDEX(WORLDCUP!$AC$101:$AC$147,MATCH(AH31,WORLDCUP!$Z$101:$Z$147,0))),"",INDEX(WORLDCUP!$AC$101:$AC$147,MATCH(AH31,WORLDCUP!$Z$101:$Z$147,0)))</f>
        <v/>
      </c>
      <c r="AK31" s="485" t="str">
        <f>+IF(ISBLANK(INDEX(WORLDCUP!$AB$101:$AB$147,MATCH(AH31,WORLDCUP!$Z$101:$Z$147,0))),"","( "&amp;INDEX(WORLDCUP!$AB$101:$AB$147,MATCH(AH31,WORLDCUP!$Z$101:$Z$147,0))&amp;" )")</f>
        <v/>
      </c>
      <c r="AL31" s="181"/>
      <c r="AM31" s="431"/>
      <c r="AN31" s="431"/>
      <c r="AO31" s="512"/>
      <c r="AP31" s="546">
        <v>103</v>
      </c>
      <c r="AQ31" s="547" t="str">
        <f>+MID(INDEX(WORLDCUP!$AA$101:$AA$147,MATCH(AP31,WORLDCUP!$Z$101:$Z$147,0)),1,4)</f>
        <v>L101</v>
      </c>
      <c r="AR31" s="548" t="str">
        <f>+IF(ISBLANK(INDEX(WORLDCUP!$AC$101:$AC$147,MATCH(AP31,WORLDCUP!$Z$101:$Z$147,0))),"",INDEX(WORLDCUP!$AC$101:$AC$147,MATCH(AP31,WORLDCUP!$Z$101:$Z$147,0)))</f>
        <v/>
      </c>
      <c r="AS31" s="549" t="str">
        <f>+IF(ISBLANK(INDEX(WORLDCUP!$AB$101:$AB$147,MATCH(AP31,WORLDCUP!$Z$101:$Z$147,0))),"","( "&amp;INDEX(WORLDCUP!$AB$101:$AB$147,MATCH(AP31,WORLDCUP!$Z$101:$Z$147,0))&amp;" )")</f>
        <v/>
      </c>
      <c r="AT31" s="550"/>
      <c r="AU31" s="551"/>
      <c r="AV31" s="551"/>
      <c r="AW31" s="551"/>
      <c r="AX31" s="550"/>
      <c r="AY31" s="552"/>
      <c r="AZ31" s="553"/>
      <c r="BA31" s="553"/>
      <c r="BB31" s="553"/>
      <c r="BC31" s="554"/>
      <c r="BD31" s="153"/>
      <c r="BE31" s="153"/>
      <c r="BG31" s="462" t="str">
        <f ca="1">Horarios!Q30</f>
        <v>Morocco</v>
      </c>
      <c r="BH31" s="463">
        <f t="shared" ca="1" si="0"/>
        <v>1</v>
      </c>
      <c r="BI31" s="463">
        <f ca="1">COUNTIF(Pool!$C$130:$C$161,Fixture!BG31)-BJ31-BK31-BL31-BM31-BN31-BO31</f>
        <v>0</v>
      </c>
      <c r="BJ31" s="464">
        <f ca="1">COUNTIF(Pool!$C$182:$C$197,Fixture!BG31)-BK31-BL31-BM31-BN31-BO31</f>
        <v>0</v>
      </c>
      <c r="BK31" s="465">
        <f ca="1">COUNTIF(Pool!$C$210:$C$217,Fixture!BG31)-BL31-BM31-BN31-BO31</f>
        <v>0</v>
      </c>
      <c r="BL31" s="465">
        <f ca="1">COUNTIF(Pool!$C$226:$C$229,Fixture!BG31)-BM31-BN31-BO31</f>
        <v>0</v>
      </c>
      <c r="BM31" s="463">
        <f ca="1">COUNTIF(Pool!$C$252,Fixture!BG31)</f>
        <v>0</v>
      </c>
      <c r="BN31" s="463">
        <f ca="1">COUNTIF(Pool!$C$251,Fixture!BG31)</f>
        <v>0</v>
      </c>
      <c r="BO31" s="466">
        <f ca="1">COUNTIF(Pool!$C$250,Fixture!BG31)</f>
        <v>0</v>
      </c>
    </row>
    <row r="32" spans="1:67" ht="16" thickBot="1" x14ac:dyDescent="0.25">
      <c r="A32" s="181">
        <v>60</v>
      </c>
      <c r="B32" s="555"/>
      <c r="C32" s="487" t="str">
        <f ca="1">+MID(INDEX(WORLDCUP!$AA$4:$AA$147,MATCH(A32,WORLDCUP!$AH$4:$AH$147,0)),1,3)</f>
        <v>Par</v>
      </c>
      <c r="D32" s="488" t="str">
        <f>IF(ISBLANK(INDEX(WORLDCUP!$AC$4:$AC$147,MATCH(A32,WORLDCUP!$AH$4:$AH$147,0))),"",INDEX(WORLDCUP!$AC$4:$AC$147,MATCH(A32,WORLDCUP!$AH$4:$AH$147,0)))</f>
        <v/>
      </c>
      <c r="E32" s="488" t="str">
        <f>IF(ISBLANK(INDEX(WORLDCUP!$AD$4:$AD$147,MATCH(A32,WORLDCUP!$AH$4:$AH$147,0))),"",INDEX(WORLDCUP!$AD$4:$AD$147,MATCH(A32,WORLDCUP!$AH$4:$AH$147,0)))</f>
        <v/>
      </c>
      <c r="F32" s="489" t="str">
        <f ca="1">+MID(INDEX(WORLDCUP!$AF$4:$AF$147,MATCH(A32,WORLDCUP!$AH$4:$AH$147,0)),1,3)</f>
        <v>Aus</v>
      </c>
      <c r="G32" s="490"/>
      <c r="H32" s="490"/>
      <c r="I32" s="491"/>
      <c r="J32" s="491"/>
      <c r="K32" s="492"/>
      <c r="L32" s="181"/>
      <c r="M32" s="181">
        <v>70</v>
      </c>
      <c r="N32" s="556"/>
      <c r="O32" s="487" t="str">
        <f ca="1">+MID(INDEX(WORLDCUP!$AA$4:$AA$147,MATCH(M32,WORLDCUP!$AH$4:$AH$147,0)),1,3)</f>
        <v>Jor</v>
      </c>
      <c r="P32" s="488" t="str">
        <f>IF(ISBLANK(INDEX(WORLDCUP!$AC$4:$AC$147,MATCH(M32,WORLDCUP!$AH$4:$AH$147,0))),"",INDEX(WORLDCUP!$AC$4:$AC$147,MATCH(M32,WORLDCUP!$AH$4:$AH$147,0)))</f>
        <v/>
      </c>
      <c r="Q32" s="488" t="str">
        <f>IF(ISBLANK(INDEX(WORLDCUP!$AD$4:$AD$147,MATCH(M32,WORLDCUP!$AH$4:$AH$147,0))),"",INDEX(WORLDCUP!$AD$4:$AD$147,MATCH(M32,WORLDCUP!$AH$4:$AH$147,0)))</f>
        <v/>
      </c>
      <c r="R32" s="489" t="str">
        <f ca="1">+MID(INDEX(WORLDCUP!$AF$4:$AF$147,MATCH(M32,WORLDCUP!$AH$4:$AH$147,0)),1,3)</f>
        <v>Arg</v>
      </c>
      <c r="S32" s="490"/>
      <c r="T32" s="490"/>
      <c r="U32" s="491"/>
      <c r="V32" s="491"/>
      <c r="W32" s="492"/>
      <c r="X32" s="181"/>
      <c r="Y32" s="181"/>
      <c r="Z32" s="425"/>
      <c r="AA32" s="494"/>
      <c r="AB32" s="494"/>
      <c r="AC32" s="494"/>
      <c r="AD32" s="181"/>
      <c r="AE32" s="429"/>
      <c r="AF32" s="429"/>
      <c r="AG32" s="475"/>
      <c r="AH32" s="181">
        <v>99</v>
      </c>
      <c r="AI32" s="483" t="str">
        <f>+MID(INDEX(WORLDCUP!$AF$101:$AF$147,MATCH(AH32,WORLDCUP!$Z$101:$Z$147,0)),1,3)</f>
        <v>W92</v>
      </c>
      <c r="AJ32" s="484" t="str">
        <f>+IF(ISBLANK(INDEX(WORLDCUP!$AD$101:$AD$147,MATCH(AH32,WORLDCUP!$Z$101:$Z$147,0))),"",INDEX(WORLDCUP!$AD$101:$AD$147,MATCH(AH32,WORLDCUP!$Z$101:$Z$147,0)))</f>
        <v/>
      </c>
      <c r="AK32" s="495" t="str">
        <f>+IF(ISBLANK(INDEX(WORLDCUP!$AE$101:$AE$147,MATCH(AH32,WORLDCUP!$Z$101:$Z$147,0))),"","( "&amp;INDEX(WORLDCUP!$AE$101:$AE$147,MATCH(AH32,WORLDCUP!$Z$101:$Z$147,0))&amp;" )")</f>
        <v/>
      </c>
      <c r="AL32" s="181"/>
      <c r="AM32" s="431"/>
      <c r="AN32" s="431"/>
      <c r="AO32" s="512"/>
      <c r="AP32" s="415">
        <v>103</v>
      </c>
      <c r="AQ32" s="547" t="str">
        <f>+MID(INDEX(WORLDCUP!$AF$101:$AF$147,MATCH(AP32,WORLDCUP!$Z$101:$Z$147,0)),1,4)</f>
        <v>L102</v>
      </c>
      <c r="AR32" s="548" t="str">
        <f>+IF(ISBLANK(INDEX(WORLDCUP!$AD$101:$AD$147,MATCH(AP32,WORLDCUP!$Z$101:$Z$147,0))),"",INDEX(WORLDCUP!$AD$101:$AD$147,MATCH(AP32,WORLDCUP!$Z$101:$Z$147,0)))</f>
        <v/>
      </c>
      <c r="AS32" s="460" t="str">
        <f>+IF(ISBLANK(INDEX(WORLDCUP!$AE$101:$AE$147,MATCH(AP32,WORLDCUP!$Z$101:$Z$147,0))),"","( "&amp;INDEX(WORLDCUP!$AE$101:$AE$147,MATCH(AP32,WORLDCUP!$Z$101:$Z$147,0))&amp;" )")</f>
        <v/>
      </c>
      <c r="AT32" s="181"/>
      <c r="AU32" s="433"/>
      <c r="AV32" s="433"/>
      <c r="AW32" s="433"/>
      <c r="AX32" s="181"/>
      <c r="AY32" s="153"/>
      <c r="AZ32" s="153"/>
      <c r="BA32" s="153"/>
      <c r="BB32" s="153"/>
      <c r="BC32" s="153"/>
      <c r="BD32" s="153"/>
      <c r="BE32" s="153"/>
      <c r="BG32" s="462" t="str">
        <f ca="1">Horarios!Q31</f>
        <v>Netherlands</v>
      </c>
      <c r="BH32" s="463">
        <f t="shared" ca="1" si="0"/>
        <v>1</v>
      </c>
      <c r="BI32" s="463">
        <f ca="1">COUNTIF(Pool!$C$130:$C$161,Fixture!BG32)-BJ32-BK32-BL32-BM32-BN32-BO32</f>
        <v>0</v>
      </c>
      <c r="BJ32" s="464">
        <f ca="1">COUNTIF(Pool!$C$182:$C$197,Fixture!BG32)-BK32-BL32-BM32-BN32-BO32</f>
        <v>0</v>
      </c>
      <c r="BK32" s="465">
        <f ca="1">COUNTIF(Pool!$C$210:$C$217,Fixture!BG32)-BL32-BM32-BN32-BO32</f>
        <v>0</v>
      </c>
      <c r="BL32" s="465">
        <f ca="1">COUNTIF(Pool!$C$226:$C$229,Fixture!BG32)-BM32-BN32-BO32</f>
        <v>0</v>
      </c>
      <c r="BM32" s="463">
        <f ca="1">COUNTIF(Pool!$C$252,Fixture!BG32)</f>
        <v>0</v>
      </c>
      <c r="BN32" s="463">
        <f ca="1">COUNTIF(Pool!$C$251,Fixture!BG32)</f>
        <v>0</v>
      </c>
      <c r="BO32" s="466">
        <f ca="1">COUNTIF(Pool!$C$250,Fixture!BG32)</f>
        <v>0</v>
      </c>
    </row>
    <row r="33" spans="1:67" ht="16" thickBot="1" x14ac:dyDescent="0.25">
      <c r="A33" s="181"/>
      <c r="B33" s="411"/>
      <c r="C33" s="496"/>
      <c r="D33" s="497"/>
      <c r="E33" s="497"/>
      <c r="F33" s="153"/>
      <c r="G33" s="153"/>
      <c r="H33" s="496"/>
      <c r="I33" s="153"/>
      <c r="J33" s="153"/>
      <c r="K33" s="153"/>
      <c r="L33" s="181"/>
      <c r="M33" s="181"/>
      <c r="N33" s="151"/>
      <c r="O33" s="496"/>
      <c r="P33" s="497"/>
      <c r="Q33" s="497"/>
      <c r="R33" s="153"/>
      <c r="S33" s="153"/>
      <c r="T33" s="496"/>
      <c r="U33" s="153"/>
      <c r="V33" s="153"/>
      <c r="W33" s="153"/>
      <c r="X33" s="181"/>
      <c r="Y33" s="181">
        <v>79</v>
      </c>
      <c r="Z33" s="425" t="s">
        <v>656</v>
      </c>
      <c r="AA33" s="426" t="str">
        <f ca="1">+MID(INDEX(WORLDCUP!$AA$101:$AA$147,MATCH(Y33,WORLDCUP!$Z$101:$Z$147,0)),1,3)</f>
        <v>1A</v>
      </c>
      <c r="AB33" s="427" t="str">
        <f>+IF(ISBLANK(INDEX(WORLDCUP!$AC$101:$AC$147,MATCH(Y33,WORLDCUP!$Z$101:$Z$147,0))),"",INDEX(WORLDCUP!$AC$101:$AC$147,MATCH(Y33,WORLDCUP!$Z$101:$Z$147,0)))</f>
        <v/>
      </c>
      <c r="AC33" s="498" t="str">
        <f>+IF(ISBLANK(INDEX(WORLDCUP!$AB$101:$AB$147,MATCH(Y33,WORLDCUP!$Z$101:$Z$147,0))),"","( "&amp;INDEX(WORLDCUP!$AB$101:$AB$147,MATCH(Y33,WORLDCUP!$Z$101:$Z$147,0))&amp;" )")</f>
        <v/>
      </c>
      <c r="AD33" s="179"/>
      <c r="AE33" s="429"/>
      <c r="AF33" s="429"/>
      <c r="AG33" s="475"/>
      <c r="AH33" s="181"/>
      <c r="AI33" s="459"/>
      <c r="AJ33" s="459"/>
      <c r="AK33" s="499"/>
      <c r="AL33" s="415"/>
      <c r="AM33" s="431"/>
      <c r="AN33" s="431"/>
      <c r="AO33" s="512"/>
      <c r="AP33" s="181"/>
      <c r="AQ33" s="460"/>
      <c r="AR33" s="460"/>
      <c r="AS33" s="460"/>
      <c r="AT33" s="181"/>
      <c r="AU33" s="433"/>
      <c r="AV33" s="433"/>
      <c r="AW33" s="433"/>
      <c r="AX33" s="181"/>
      <c r="AY33" s="153"/>
      <c r="AZ33" s="153"/>
      <c r="BA33" s="153"/>
      <c r="BB33" s="153"/>
      <c r="BC33" s="153"/>
      <c r="BD33" s="153"/>
      <c r="BE33" s="153"/>
      <c r="BG33" s="462" t="str">
        <f ca="1">Horarios!Q32</f>
        <v>New Zealand</v>
      </c>
      <c r="BH33" s="463">
        <f t="shared" ca="1" si="0"/>
        <v>1</v>
      </c>
      <c r="BI33" s="463">
        <f ca="1">COUNTIF(Pool!$C$130:$C$161,Fixture!BG33)-BJ33-BK33-BL33-BM33-BN33-BO33</f>
        <v>0</v>
      </c>
      <c r="BJ33" s="464">
        <f ca="1">COUNTIF(Pool!$C$182:$C$197,Fixture!BG33)-BK33-BL33-BM33-BN33-BO33</f>
        <v>0</v>
      </c>
      <c r="BK33" s="465">
        <f ca="1">COUNTIF(Pool!$C$210:$C$217,Fixture!BG33)-BL33-BM33-BN33-BO33</f>
        <v>0</v>
      </c>
      <c r="BL33" s="465">
        <f ca="1">COUNTIF(Pool!$C$226:$C$229,Fixture!BG33)-BM33-BN33-BO33</f>
        <v>0</v>
      </c>
      <c r="BM33" s="463">
        <f ca="1">COUNTIF(Pool!$C$252,Fixture!BG33)</f>
        <v>0</v>
      </c>
      <c r="BN33" s="463">
        <f ca="1">COUNTIF(Pool!$C$251,Fixture!BG33)</f>
        <v>0</v>
      </c>
      <c r="BO33" s="466">
        <f ca="1">COUNTIF(Pool!$C$250,Fixture!BG33)</f>
        <v>0</v>
      </c>
    </row>
    <row r="34" spans="1:67" ht="16" thickBot="1" x14ac:dyDescent="0.25">
      <c r="A34" s="181"/>
      <c r="B34" s="411"/>
      <c r="C34" s="496"/>
      <c r="D34" s="497"/>
      <c r="E34" s="497"/>
      <c r="F34" s="153"/>
      <c r="G34" s="153"/>
      <c r="H34" s="496"/>
      <c r="I34" s="153"/>
      <c r="J34" s="153"/>
      <c r="K34" s="153"/>
      <c r="L34" s="181"/>
      <c r="M34" s="181"/>
      <c r="N34" s="151"/>
      <c r="O34" s="496"/>
      <c r="P34" s="497"/>
      <c r="Q34" s="497"/>
      <c r="R34" s="153"/>
      <c r="S34" s="153"/>
      <c r="T34" s="496"/>
      <c r="U34" s="153"/>
      <c r="V34" s="153"/>
      <c r="W34" s="153"/>
      <c r="X34" s="181"/>
      <c r="Y34" s="181">
        <v>79</v>
      </c>
      <c r="Z34" s="425" t="s">
        <v>735</v>
      </c>
      <c r="AA34" s="426" t="str">
        <f ca="1">+MID(INDEX(WORLDCUP!$AF$101:$AF$147,MATCH(Y34,WORLDCUP!$Z$101:$Z$147,0)),1,IF(WORLDCUP!$H$113&lt;144,6,3))</f>
        <v>3CEFHI</v>
      </c>
      <c r="AB34" s="453" t="str">
        <f>+IF(ISBLANK(INDEX(WORLDCUP!$AD$101:$AD$147,MATCH(Y34,WORLDCUP!$Z$101:$Z$147,0))),"",INDEX(WORLDCUP!$AD$101:$AD$147,MATCH(Y34,WORLDCUP!$Z$101:$Z$147,0)))</f>
        <v/>
      </c>
      <c r="AC34" s="454" t="str">
        <f>+IF(ISBLANK(INDEX(WORLDCUP!$AE$101:$AE$147,MATCH(Y34,WORLDCUP!$Z$101:$Z$147,0))),"","( "&amp;INDEX(WORLDCUP!$AE$101:$AE$147,MATCH(Y34,WORLDCUP!$Z$101:$Z$147,0))&amp;" )")</f>
        <v/>
      </c>
      <c r="AD34" s="455">
        <v>92</v>
      </c>
      <c r="AE34" s="456" t="str">
        <f>+MID(INDEX(WORLDCUP!$AA$101:$AA$147,MATCH(AD34,WORLDCUP!$Z$101:$Z$147,0)),1,3)</f>
        <v>W79</v>
      </c>
      <c r="AF34" s="457" t="str">
        <f>+IF(ISBLANK(INDEX(WORLDCUP!$AC$101:$AC$147,MATCH(AD34,WORLDCUP!$Z$101:$Z$147,0))),"",INDEX(WORLDCUP!$AC$101:$AC$147,MATCH(AD34,WORLDCUP!$Z$101:$Z$147,0)))</f>
        <v/>
      </c>
      <c r="AG34" s="501" t="str">
        <f>+IF(ISBLANK(INDEX(WORLDCUP!$AB$101:$AB$147,MATCH(AD34,WORLDCUP!$Z$101:$Z$147,0))),"","( "&amp;INDEX(WORLDCUP!$AB$101:$AB$147,MATCH(AD34,WORLDCUP!$Z$101:$Z$147,0))&amp;" )")</f>
        <v/>
      </c>
      <c r="AH34" s="181"/>
      <c r="AI34" s="459"/>
      <c r="AJ34" s="459"/>
      <c r="AK34" s="499"/>
      <c r="AL34" s="415"/>
      <c r="AM34" s="431"/>
      <c r="AN34" s="431"/>
      <c r="AO34" s="512"/>
      <c r="AP34" s="181"/>
      <c r="AQ34" s="460"/>
      <c r="AR34" s="460"/>
      <c r="AS34" s="460"/>
      <c r="AT34" s="181"/>
      <c r="AU34" s="433"/>
      <c r="AV34" s="433"/>
      <c r="AW34" s="433"/>
      <c r="AX34" s="181"/>
      <c r="AY34" s="153"/>
      <c r="AZ34" s="153"/>
      <c r="BA34" s="153"/>
      <c r="BB34" s="153"/>
      <c r="BC34" s="153"/>
      <c r="BD34" s="153"/>
      <c r="BE34" s="153"/>
      <c r="BG34" s="462" t="str">
        <f ca="1">Horarios!Q33</f>
        <v>Norway</v>
      </c>
      <c r="BH34" s="463">
        <f t="shared" ca="1" si="0"/>
        <v>1</v>
      </c>
      <c r="BI34" s="463">
        <f ca="1">COUNTIF(Pool!$C$130:$C$161,Fixture!BG34)-BJ34-BK34-BL34-BM34-BN34-BO34</f>
        <v>0</v>
      </c>
      <c r="BJ34" s="464">
        <f ca="1">COUNTIF(Pool!$C$182:$C$197,Fixture!BG34)-BK34-BL34-BM34-BN34-BO34</f>
        <v>0</v>
      </c>
      <c r="BK34" s="465">
        <f ca="1">COUNTIF(Pool!$C$210:$C$217,Fixture!BG34)-BL34-BM34-BN34-BO34</f>
        <v>0</v>
      </c>
      <c r="BL34" s="465">
        <f ca="1">COUNTIF(Pool!$C$226:$C$229,Fixture!BG34)-BM34-BN34-BO34</f>
        <v>0</v>
      </c>
      <c r="BM34" s="463">
        <f ca="1">COUNTIF(Pool!$C$252,Fixture!BG34)</f>
        <v>0</v>
      </c>
      <c r="BN34" s="463">
        <f ca="1">COUNTIF(Pool!$C$251,Fixture!BG34)</f>
        <v>0</v>
      </c>
      <c r="BO34" s="466">
        <f ca="1">COUNTIF(Pool!$C$250,Fixture!BG34)</f>
        <v>0</v>
      </c>
    </row>
    <row r="35" spans="1:67" x14ac:dyDescent="0.2">
      <c r="A35" s="181">
        <v>10</v>
      </c>
      <c r="B35" s="557" t="s">
        <v>3</v>
      </c>
      <c r="C35" s="417" t="str">
        <f ca="1">+MID(INDEX(WORLDCUP!$AA$4:$AA$147,MATCH(A35,WORLDCUP!$AH$4:$AH$147,0)),1,3)</f>
        <v>Ger</v>
      </c>
      <c r="D35" s="418" t="str">
        <f>IF(ISBLANK(INDEX(WORLDCUP!$AC$4:$AC$147,MATCH(A35,WORLDCUP!$AH$4:$AH$147,0))),"",INDEX(WORLDCUP!$AC$4:$AC$147,MATCH(A35,WORLDCUP!$AH$4:$AH$147,0)))</f>
        <v/>
      </c>
      <c r="E35" s="418" t="str">
        <f>IF(ISBLANK(INDEX(WORLDCUP!$AD$4:$AD$147,MATCH(A35,WORLDCUP!$AH$4:$AH$147,0))),"",INDEX(WORLDCUP!$AD$4:$AD$147,MATCH(A35,WORLDCUP!$AH$4:$AH$147,0)))</f>
        <v/>
      </c>
      <c r="F35" s="419" t="str">
        <f ca="1">+MID(INDEX(WORLDCUP!$AF$4:$AF$147,MATCH(A35,WORLDCUP!$AH$4:$AH$147,0)),1,3)</f>
        <v>Cur</v>
      </c>
      <c r="G35" s="420"/>
      <c r="H35" s="421" t="str">
        <f>+H27</f>
        <v>Nat</v>
      </c>
      <c r="I35" s="422" t="str">
        <f>+I27</f>
        <v>Pts</v>
      </c>
      <c r="J35" s="422" t="str">
        <f>+J27</f>
        <v>GD</v>
      </c>
      <c r="K35" s="423" t="str">
        <f>+K27</f>
        <v>F-A</v>
      </c>
      <c r="L35" s="181"/>
      <c r="M35" s="181">
        <v>23</v>
      </c>
      <c r="N35" s="558" t="s">
        <v>449</v>
      </c>
      <c r="O35" s="417" t="str">
        <f ca="1">+MID(INDEX(WORLDCUP!$AA$4:$AA$147,MATCH(M35,WORLDCUP!$AH$4:$AH$147,0)),1,3)</f>
        <v>Por</v>
      </c>
      <c r="P35" s="418" t="str">
        <f>IF(ISBLANK(INDEX(WORLDCUP!$AC$4:$AC$147,MATCH(M35,WORLDCUP!$AH$4:$AH$147,0))),"",INDEX(WORLDCUP!$AC$4:$AC$147,MATCH(M35,WORLDCUP!$AH$4:$AH$147,0)))</f>
        <v/>
      </c>
      <c r="Q35" s="418" t="str">
        <f>IF(ISBLANK(INDEX(WORLDCUP!$AD$4:$AD$147,MATCH(M35,WORLDCUP!$AH$4:$AH$147,0))),"",INDEX(WORLDCUP!$AD$4:$AD$147,MATCH(M35,WORLDCUP!$AH$4:$AH$147,0)))</f>
        <v/>
      </c>
      <c r="R35" s="419" t="str">
        <f ca="1">+MID(INDEX(WORLDCUP!$AF$4:$AF$147,MATCH(M35,WORLDCUP!$AH$4:$AH$147,0)),1,3)</f>
        <v xml:space="preserve">DR </v>
      </c>
      <c r="S35" s="420"/>
      <c r="T35" s="421" t="str">
        <f>+T27</f>
        <v>Nat</v>
      </c>
      <c r="U35" s="422" t="str">
        <f>+U27</f>
        <v>Pts</v>
      </c>
      <c r="V35" s="422" t="str">
        <f>+V27</f>
        <v>GD</v>
      </c>
      <c r="W35" s="423" t="str">
        <f>+W27</f>
        <v>F-A</v>
      </c>
      <c r="X35" s="181"/>
      <c r="Y35" s="181"/>
      <c r="Z35" s="425"/>
      <c r="AA35" s="469"/>
      <c r="AB35" s="469"/>
      <c r="AC35" s="470"/>
      <c r="AD35" s="181">
        <v>92</v>
      </c>
      <c r="AE35" s="456" t="str">
        <f>+MID(INDEX(WORLDCUP!$AF$101:$AF$147,MATCH(AD35,WORLDCUP!$Z$101:$Z$147,0)),1,3)</f>
        <v>W80</v>
      </c>
      <c r="AF35" s="457" t="str">
        <f>+IF(ISBLANK(INDEX(WORLDCUP!$AD$101:$AD$147,MATCH(AD35,WORLDCUP!$Z$101:$Z$147,0))),"",INDEX(WORLDCUP!$AD$101:$AD$147,MATCH(AD35,WORLDCUP!$Z$101:$Z$147,0)))</f>
        <v/>
      </c>
      <c r="AG35" s="474" t="str">
        <f>+IF(ISBLANK(INDEX(WORLDCUP!$AE$101:$AE$147,MATCH(AD35,WORLDCUP!$Z$101:$Z$147,0))),"","( "&amp;INDEX(WORLDCUP!$AE$101:$AE$147,MATCH(AD35,WORLDCUP!$Z$101:$Z$147,0))&amp;" )")</f>
        <v/>
      </c>
      <c r="AH35" s="181"/>
      <c r="AI35" s="459"/>
      <c r="AJ35" s="459"/>
      <c r="AK35" s="499"/>
      <c r="AL35" s="415"/>
      <c r="AM35" s="431"/>
      <c r="AN35" s="559"/>
      <c r="AO35" s="512"/>
      <c r="AP35" s="415"/>
      <c r="AQ35" s="460"/>
      <c r="AR35" s="460"/>
      <c r="AS35" s="460"/>
      <c r="AT35" s="181"/>
      <c r="AU35" s="433"/>
      <c r="AV35" s="433"/>
      <c r="AW35" s="433"/>
      <c r="AX35" s="181"/>
      <c r="AY35" s="153"/>
      <c r="AZ35" s="153"/>
      <c r="BA35" s="153"/>
      <c r="BB35" s="153"/>
      <c r="BC35" s="153"/>
      <c r="BD35" s="153"/>
      <c r="BE35" s="153"/>
      <c r="BG35" s="462" t="str">
        <f ca="1">Horarios!Q34</f>
        <v>Panama</v>
      </c>
      <c r="BH35" s="463">
        <f t="shared" ca="1" si="0"/>
        <v>1</v>
      </c>
      <c r="BI35" s="463">
        <f ca="1">COUNTIF(Pool!$C$130:$C$161,Fixture!BG35)-BJ35-BK35-BL35-BM35-BN35-BO35</f>
        <v>0</v>
      </c>
      <c r="BJ35" s="464">
        <f ca="1">COUNTIF(Pool!$C$182:$C$197,Fixture!BG35)-BK35-BL35-BM35-BN35-BO35</f>
        <v>0</v>
      </c>
      <c r="BK35" s="465">
        <f ca="1">COUNTIF(Pool!$C$210:$C$217,Fixture!BG35)-BL35-BM35-BN35-BO35</f>
        <v>0</v>
      </c>
      <c r="BL35" s="465">
        <f ca="1">COUNTIF(Pool!$C$226:$C$229,Fixture!BG35)-BM35-BN35-BO35</f>
        <v>0</v>
      </c>
      <c r="BM35" s="463">
        <f ca="1">COUNTIF(Pool!$C$252,Fixture!BG35)</f>
        <v>0</v>
      </c>
      <c r="BN35" s="463">
        <f ca="1">COUNTIF(Pool!$C$251,Fixture!BG35)</f>
        <v>0</v>
      </c>
      <c r="BO35" s="466">
        <f ca="1">COUNTIF(Pool!$C$250,Fixture!BG35)</f>
        <v>0</v>
      </c>
    </row>
    <row r="36" spans="1:67" ht="16" thickBot="1" x14ac:dyDescent="0.25">
      <c r="A36" s="181">
        <v>9</v>
      </c>
      <c r="B36" s="560"/>
      <c r="C36" s="444" t="str">
        <f ca="1">+MID(INDEX(WORLDCUP!$AA$4:$AA$147,MATCH(A36,WORLDCUP!$AH$4:$AH$147,0)),1,3)</f>
        <v>Ivo</v>
      </c>
      <c r="D36" s="445" t="str">
        <f>IF(ISBLANK(INDEX(WORLDCUP!$AC$4:$AC$147,MATCH(A36,WORLDCUP!$AH$4:$AH$147,0))),"",INDEX(WORLDCUP!$AC$4:$AC$147,MATCH(A36,WORLDCUP!$AH$4:$AH$147,0)))</f>
        <v/>
      </c>
      <c r="E36" s="445" t="str">
        <f>IF(ISBLANK(INDEX(WORLDCUP!$AD$4:$AD$147,MATCH(A36,WORLDCUP!$AH$4:$AH$147,0))),"",INDEX(WORLDCUP!$AD$4:$AD$147,MATCH(A36,WORLDCUP!$AH$4:$AH$147,0)))</f>
        <v/>
      </c>
      <c r="F36" s="446" t="str">
        <f ca="1">+MID(INDEX(WORLDCUP!$AF$4:$AF$147,MATCH(A36,WORLDCUP!$AH$4:$AH$147,0)),1,3)</f>
        <v>Ecu</v>
      </c>
      <c r="G36" s="447">
        <v>1</v>
      </c>
      <c r="H36" s="448" t="str">
        <f ca="1">+MID(INDEX(WORLDCUP!$AL$6:$AL$97,MATCH(L36,WORLDCUP!$AI$6:$AI$97,0)),1,3)</f>
        <v>Ger</v>
      </c>
      <c r="I36" s="449">
        <f ca="1">+INDEX(WORLDCUP!$AM$6:$AM$97,MATCH(L36,WORLDCUP!$AI$6:$AI$97,0))</f>
        <v>0</v>
      </c>
      <c r="J36" s="450">
        <f ca="1">+INDEX(WORLDCUP!$AT$6:$AT$97,MATCH(L36,WORLDCUP!$AI$6:$AI$97,0))</f>
        <v>0</v>
      </c>
      <c r="K36" s="451" t="str">
        <f ca="1">+INDEX(WORLDCUP!$AR$6:$AR$97,MATCH(L36,WORLDCUP!$AI$6:$AI$97,0))&amp;"-"&amp;INDEX(WORLDCUP!$AS$6:$AS$97,MATCH(L36,WORLDCUP!$AI$6:$AI$97,0))</f>
        <v>0-0</v>
      </c>
      <c r="L36" s="181" t="s">
        <v>672</v>
      </c>
      <c r="M36" s="181">
        <v>24</v>
      </c>
      <c r="N36" s="561"/>
      <c r="O36" s="444" t="str">
        <f ca="1">+MID(INDEX(WORLDCUP!$AA$4:$AA$147,MATCH(M36,WORLDCUP!$AH$4:$AH$147,0)),1,3)</f>
        <v>Uzb</v>
      </c>
      <c r="P36" s="445" t="str">
        <f>IF(ISBLANK(INDEX(WORLDCUP!$AC$4:$AC$147,MATCH(M36,WORLDCUP!$AH$4:$AH$147,0))),"",INDEX(WORLDCUP!$AC$4:$AC$147,MATCH(M36,WORLDCUP!$AH$4:$AH$147,0)))</f>
        <v/>
      </c>
      <c r="Q36" s="445" t="str">
        <f>IF(ISBLANK(INDEX(WORLDCUP!$AD$4:$AD$147,MATCH(M36,WORLDCUP!$AH$4:$AH$147,0))),"",INDEX(WORLDCUP!$AD$4:$AD$147,MATCH(M36,WORLDCUP!$AH$4:$AH$147,0)))</f>
        <v/>
      </c>
      <c r="R36" s="446" t="str">
        <f ca="1">+MID(INDEX(WORLDCUP!$AF$4:$AF$147,MATCH(M36,WORLDCUP!$AH$4:$AH$147,0)),1,3)</f>
        <v>Col</v>
      </c>
      <c r="S36" s="447">
        <v>1</v>
      </c>
      <c r="T36" s="448" t="str">
        <f ca="1">+MID(INDEX(WORLDCUP!$AL$6:$AL$97,MATCH(X36,WORLDCUP!$AI$6:$AI$97,0)),1,3)</f>
        <v>Por</v>
      </c>
      <c r="U36" s="449">
        <f ca="1">+INDEX(WORLDCUP!$AM$6:$AM$97,MATCH(X36,WORLDCUP!$AI$6:$AI$97,0))</f>
        <v>0</v>
      </c>
      <c r="V36" s="450">
        <f ca="1">+INDEX(WORLDCUP!$AT$6:$AT$97,MATCH(X36,WORLDCUP!$AI$6:$AI$97,0))</f>
        <v>0</v>
      </c>
      <c r="W36" s="451" t="str">
        <f ca="1">+INDEX(WORLDCUP!$AR$6:$AR$97,MATCH(X36,WORLDCUP!$AI$6:$AI$97,0))&amp;"-"&amp;INDEX(WORLDCUP!$AS$6:$AS$97,MATCH(X36,WORLDCUP!$AI$6:$AI$97,0))</f>
        <v>0-0</v>
      </c>
      <c r="X36" s="181" t="s">
        <v>690</v>
      </c>
      <c r="Y36" s="181">
        <v>80</v>
      </c>
      <c r="Z36" s="425" t="s">
        <v>693</v>
      </c>
      <c r="AA36" s="426" t="str">
        <f ca="1">+MID(INDEX(WORLDCUP!$AA$101:$AA$147,MATCH(Y36,WORLDCUP!$Z$101:$Z$147,0)),1,3)</f>
        <v>1L</v>
      </c>
      <c r="AB36" s="472" t="str">
        <f>+IF(ISBLANK(INDEX(WORLDCUP!$AC$101:$AC$147,MATCH(Y36,WORLDCUP!$Z$101:$Z$147,0))),"",INDEX(WORLDCUP!$AC$101:$AC$147,MATCH(Y36,WORLDCUP!$Z$101:$Z$147,0)))</f>
        <v/>
      </c>
      <c r="AC36" s="506" t="str">
        <f>+IF(ISBLANK(INDEX(WORLDCUP!$AB$101:$AB$147,MATCH(Y36,WORLDCUP!$Z$101:$Z$147,0))),"","( "&amp;INDEX(WORLDCUP!$AB$101:$AB$147,MATCH(Y36,WORLDCUP!$Z$101:$Z$147,0))&amp;" )")</f>
        <v/>
      </c>
      <c r="AD36" s="181"/>
      <c r="AE36" s="429"/>
      <c r="AF36" s="429"/>
      <c r="AG36" s="429"/>
      <c r="AH36" s="181"/>
      <c r="AI36" s="459"/>
      <c r="AJ36" s="459"/>
      <c r="AK36" s="499"/>
      <c r="AL36" s="415"/>
      <c r="AM36" s="431"/>
      <c r="AN36" s="431"/>
      <c r="AO36" s="512"/>
      <c r="AP36" s="415"/>
      <c r="AQ36" s="460"/>
      <c r="AR36" s="460"/>
      <c r="AS36" s="460"/>
      <c r="AT36" s="181"/>
      <c r="AU36" s="433"/>
      <c r="AV36" s="433"/>
      <c r="AW36" s="433"/>
      <c r="AX36" s="181"/>
      <c r="AY36" s="153"/>
      <c r="AZ36" s="153"/>
      <c r="BA36" s="153"/>
      <c r="BB36" s="153"/>
      <c r="BC36" s="153"/>
      <c r="BD36" s="153"/>
      <c r="BE36" s="153"/>
      <c r="BG36" s="462" t="str">
        <f ca="1">Horarios!Q35</f>
        <v>Paraguay</v>
      </c>
      <c r="BH36" s="463">
        <f t="shared" ca="1" si="0"/>
        <v>1</v>
      </c>
      <c r="BI36" s="463">
        <f ca="1">COUNTIF(Pool!$C$130:$C$161,Fixture!BG36)-BJ36-BK36-BL36-BM36-BN36-BO36</f>
        <v>0</v>
      </c>
      <c r="BJ36" s="464">
        <f ca="1">COUNTIF(Pool!$C$182:$C$197,Fixture!BG36)-BK36-BL36-BM36-BN36-BO36</f>
        <v>0</v>
      </c>
      <c r="BK36" s="465">
        <f ca="1">COUNTIF(Pool!$C$210:$C$217,Fixture!BG36)-BL36-BM36-BN36-BO36</f>
        <v>0</v>
      </c>
      <c r="BL36" s="465">
        <f ca="1">COUNTIF(Pool!$C$226:$C$229,Fixture!BG36)-BM36-BN36-BO36</f>
        <v>0</v>
      </c>
      <c r="BM36" s="463">
        <f ca="1">COUNTIF(Pool!$C$252,Fixture!BG36)</f>
        <v>0</v>
      </c>
      <c r="BN36" s="463">
        <f ca="1">COUNTIF(Pool!$C$251,Fixture!BG36)</f>
        <v>0</v>
      </c>
      <c r="BO36" s="466">
        <f ca="1">COUNTIF(Pool!$C$250,Fixture!BG36)</f>
        <v>0</v>
      </c>
    </row>
    <row r="37" spans="1:67" ht="16" thickBot="1" x14ac:dyDescent="0.25">
      <c r="A37" s="181">
        <v>33</v>
      </c>
      <c r="B37" s="560"/>
      <c r="C37" s="444" t="str">
        <f ca="1">+MID(INDEX(WORLDCUP!$AA$4:$AA$147,MATCH(A37,WORLDCUP!$AH$4:$AH$147,0)),1,3)</f>
        <v>Ger</v>
      </c>
      <c r="D37" s="445" t="str">
        <f>IF(ISBLANK(INDEX(WORLDCUP!$AC$4:$AC$147,MATCH(A37,WORLDCUP!$AH$4:$AH$147,0))),"",INDEX(WORLDCUP!$AC$4:$AC$147,MATCH(A37,WORLDCUP!$AH$4:$AH$147,0)))</f>
        <v/>
      </c>
      <c r="E37" s="445" t="str">
        <f>IF(ISBLANK(INDEX(WORLDCUP!$AD$4:$AD$147,MATCH(A37,WORLDCUP!$AH$4:$AH$147,0))),"",INDEX(WORLDCUP!$AD$4:$AD$147,MATCH(A37,WORLDCUP!$AH$4:$AH$147,0)))</f>
        <v/>
      </c>
      <c r="F37" s="446" t="str">
        <f ca="1">+MID(INDEX(WORLDCUP!$AF$4:$AF$147,MATCH(A37,WORLDCUP!$AH$4:$AH$147,0)),1,3)</f>
        <v>Ivo</v>
      </c>
      <c r="G37" s="467">
        <v>2</v>
      </c>
      <c r="H37" s="468" t="str">
        <f ca="1">+MID(INDEX(WORLDCUP!$AL$6:$AL$97,MATCH(L37,WORLDCUP!$AI$6:$AI$97,0)),1,3)</f>
        <v>Cur</v>
      </c>
      <c r="I37" s="38">
        <f ca="1">+INDEX(WORLDCUP!$AM$6:$AM$97,MATCH(L37,WORLDCUP!$AI$6:$AI$97,0))</f>
        <v>0</v>
      </c>
      <c r="J37" s="39">
        <f ca="1">+INDEX(WORLDCUP!$AT$6:$AT$97,MATCH(L37,WORLDCUP!$AI$6:$AI$97,0))</f>
        <v>0</v>
      </c>
      <c r="K37" s="43" t="str">
        <f ca="1">+INDEX(WORLDCUP!$AR$6:$AR$97,MATCH(L37,WORLDCUP!$AI$6:$AI$97,0))&amp;"-"&amp;INDEX(WORLDCUP!$AS$6:$AS$97,MATCH(L37,WORLDCUP!$AI$6:$AI$97,0))</f>
        <v>0-0</v>
      </c>
      <c r="L37" s="181" t="s">
        <v>673</v>
      </c>
      <c r="M37" s="181">
        <v>47</v>
      </c>
      <c r="N37" s="561"/>
      <c r="O37" s="444" t="str">
        <f ca="1">+MID(INDEX(WORLDCUP!$AA$4:$AA$147,MATCH(M37,WORLDCUP!$AH$4:$AH$147,0)),1,3)</f>
        <v>Por</v>
      </c>
      <c r="P37" s="445" t="str">
        <f>IF(ISBLANK(INDEX(WORLDCUP!$AC$4:$AC$147,MATCH(M37,WORLDCUP!$AH$4:$AH$147,0))),"",INDEX(WORLDCUP!$AC$4:$AC$147,MATCH(M37,WORLDCUP!$AH$4:$AH$147,0)))</f>
        <v/>
      </c>
      <c r="Q37" s="445" t="str">
        <f>IF(ISBLANK(INDEX(WORLDCUP!$AD$4:$AD$147,MATCH(M37,WORLDCUP!$AH$4:$AH$147,0))),"",INDEX(WORLDCUP!$AD$4:$AD$147,MATCH(M37,WORLDCUP!$AH$4:$AH$147,0)))</f>
        <v/>
      </c>
      <c r="R37" s="446" t="str">
        <f ca="1">+MID(INDEX(WORLDCUP!$AF$4:$AF$147,MATCH(M37,WORLDCUP!$AH$4:$AH$147,0)),1,3)</f>
        <v>Uzb</v>
      </c>
      <c r="S37" s="467">
        <v>2</v>
      </c>
      <c r="T37" s="468" t="str">
        <f ca="1">+MID(INDEX(WORLDCUP!$AL$6:$AL$97,MATCH(X37,WORLDCUP!$AI$6:$AI$97,0)),1,3)</f>
        <v xml:space="preserve">DR </v>
      </c>
      <c r="U37" s="38">
        <f ca="1">+INDEX(WORLDCUP!$AM$6:$AM$97,MATCH(X37,WORLDCUP!$AI$6:$AI$97,0))</f>
        <v>0</v>
      </c>
      <c r="V37" s="39">
        <f ca="1">+INDEX(WORLDCUP!$AT$6:$AT$97,MATCH(X37,WORLDCUP!$AI$6:$AI$97,0))</f>
        <v>0</v>
      </c>
      <c r="W37" s="43" t="str">
        <f ca="1">+INDEX(WORLDCUP!$AR$6:$AR$97,MATCH(X37,WORLDCUP!$AI$6:$AI$97,0))&amp;"-"&amp;INDEX(WORLDCUP!$AS$6:$AS$97,MATCH(X37,WORLDCUP!$AI$6:$AI$97,0))</f>
        <v>0-0</v>
      </c>
      <c r="X37" s="181" t="s">
        <v>691</v>
      </c>
      <c r="Y37" s="181">
        <v>80</v>
      </c>
      <c r="Z37" s="425" t="s">
        <v>736</v>
      </c>
      <c r="AA37" s="480" t="str">
        <f ca="1">+MID(INDEX(WORLDCUP!$AF$101:$AF$147,MATCH(Y37,WORLDCUP!$Z$101:$Z$147,0)),1,IF(WORLDCUP!$H$113&lt;144,6,3))</f>
        <v>3EHIJK</v>
      </c>
      <c r="AB37" s="481" t="str">
        <f>+IF(ISBLANK(INDEX(WORLDCUP!$AD$101:$AD$147,MATCH(Y37,WORLDCUP!$Z$101:$Z$147,0))),"",INDEX(WORLDCUP!$AD$101:$AD$147,MATCH(Y37,WORLDCUP!$Z$101:$Z$147,0)))</f>
        <v/>
      </c>
      <c r="AC37" s="507" t="str">
        <f>+IF(ISBLANK(INDEX(WORLDCUP!$AE$101:$AE$147,MATCH(Y37,WORLDCUP!$Z$101:$Z$147,0))),"","( "&amp;INDEX(WORLDCUP!$AE$101:$AE$147,MATCH(Y37,WORLDCUP!$Z$101:$Z$147,0))&amp;" )")</f>
        <v/>
      </c>
      <c r="AD37" s="181"/>
      <c r="AE37" s="429"/>
      <c r="AF37" s="429"/>
      <c r="AG37" s="429"/>
      <c r="AH37" s="181"/>
      <c r="AI37" s="459"/>
      <c r="AJ37" s="459"/>
      <c r="AK37" s="499"/>
      <c r="AL37" s="500">
        <v>102</v>
      </c>
      <c r="AM37" s="508" t="str">
        <f>+MID(INDEX(WORLDCUP!$AA$101:$AA$147,MATCH(AL37,WORLDCUP!$Z$101:$Z$147,0)),1,3)</f>
        <v>W99</v>
      </c>
      <c r="AN37" s="509" t="str">
        <f>+IF(ISBLANK(INDEX(WORLDCUP!$AC$101:$AC$147,MATCH(AL37,WORLDCUP!$Z$101:$Z$147,0))),"",INDEX(WORLDCUP!$AC$101:$AC$147,MATCH(AL37,WORLDCUP!$Z$101:$Z$147,0)))</f>
        <v/>
      </c>
      <c r="AO37" s="562" t="str">
        <f>+IF(ISBLANK(INDEX(WORLDCUP!$AB$101:$AB$147,MATCH(AL37,WORLDCUP!$Z$101:$Z$147,0))),"","( "&amp;INDEX(WORLDCUP!$AB$101:$AB$147,MATCH(AL37,WORLDCUP!$Z$101:$Z$147,0))&amp;" )")</f>
        <v/>
      </c>
      <c r="AP37" s="181"/>
      <c r="AQ37" s="460"/>
      <c r="AR37" s="460"/>
      <c r="AS37" s="460"/>
      <c r="AT37" s="181"/>
      <c r="AU37" s="433"/>
      <c r="AV37" s="433"/>
      <c r="AW37" s="433"/>
      <c r="AX37" s="181"/>
      <c r="AY37" s="153"/>
      <c r="AZ37" s="153"/>
      <c r="BA37" s="153"/>
      <c r="BB37" s="153"/>
      <c r="BC37" s="153"/>
      <c r="BD37" s="153"/>
      <c r="BE37" s="153"/>
      <c r="BG37" s="462" t="str">
        <f ca="1">Horarios!Q36</f>
        <v>Portugal</v>
      </c>
      <c r="BH37" s="463">
        <f t="shared" ca="1" si="0"/>
        <v>1</v>
      </c>
      <c r="BI37" s="463">
        <f ca="1">COUNTIF(Pool!$C$130:$C$161,Fixture!BG37)-BJ37-BK37-BL37-BM37-BN37-BO37</f>
        <v>0</v>
      </c>
      <c r="BJ37" s="464">
        <f ca="1">COUNTIF(Pool!$C$182:$C$197,Fixture!BG37)-BK37-BL37-BM37-BN37-BO37</f>
        <v>0</v>
      </c>
      <c r="BK37" s="465">
        <f ca="1">COUNTIF(Pool!$C$210:$C$217,Fixture!BG37)-BL37-BM37-BN37-BO37</f>
        <v>0</v>
      </c>
      <c r="BL37" s="465">
        <f ca="1">COUNTIF(Pool!$C$226:$C$229,Fixture!BG37)-BM37-BN37-BO37</f>
        <v>0</v>
      </c>
      <c r="BM37" s="463">
        <f ca="1">COUNTIF(Pool!$C$252,Fixture!BG37)</f>
        <v>0</v>
      </c>
      <c r="BN37" s="463">
        <f ca="1">COUNTIF(Pool!$C$251,Fixture!BG37)</f>
        <v>0</v>
      </c>
      <c r="BO37" s="466">
        <f ca="1">COUNTIF(Pool!$C$250,Fixture!BG37)</f>
        <v>0</v>
      </c>
    </row>
    <row r="38" spans="1:67" x14ac:dyDescent="0.2">
      <c r="A38" s="181">
        <v>34</v>
      </c>
      <c r="B38" s="560"/>
      <c r="C38" s="444" t="str">
        <f ca="1">+MID(INDEX(WORLDCUP!$AA$4:$AA$147,MATCH(A38,WORLDCUP!$AH$4:$AH$147,0)),1,3)</f>
        <v>Ecu</v>
      </c>
      <c r="D38" s="445" t="str">
        <f>IF(ISBLANK(INDEX(WORLDCUP!$AC$4:$AC$147,MATCH(A38,WORLDCUP!$AH$4:$AH$147,0))),"",INDEX(WORLDCUP!$AC$4:$AC$147,MATCH(A38,WORLDCUP!$AH$4:$AH$147,0)))</f>
        <v/>
      </c>
      <c r="E38" s="445" t="str">
        <f>IF(ISBLANK(INDEX(WORLDCUP!$AD$4:$AD$147,MATCH(A38,WORLDCUP!$AH$4:$AH$147,0))),"",INDEX(WORLDCUP!$AD$4:$AD$147,MATCH(A38,WORLDCUP!$AH$4:$AH$147,0)))</f>
        <v/>
      </c>
      <c r="F38" s="446" t="str">
        <f ca="1">+MID(INDEX(WORLDCUP!$AF$4:$AF$147,MATCH(A38,WORLDCUP!$AH$4:$AH$147,0)),1,3)</f>
        <v>Cur</v>
      </c>
      <c r="G38" s="467">
        <v>3</v>
      </c>
      <c r="H38" s="468" t="str">
        <f ca="1">+MID(INDEX(WORLDCUP!$AL$6:$AL$97,MATCH(L38,WORLDCUP!$AI$6:$AI$97,0)),1,3)</f>
        <v>Ivo</v>
      </c>
      <c r="I38" s="38">
        <f ca="1">+INDEX(WORLDCUP!$AM$6:$AM$97,MATCH(L38,WORLDCUP!$AI$6:$AI$97,0))</f>
        <v>0</v>
      </c>
      <c r="J38" s="39">
        <f ca="1">+INDEX(WORLDCUP!$AT$6:$AT$97,MATCH(L38,WORLDCUP!$AI$6:$AI$97,0))</f>
        <v>0</v>
      </c>
      <c r="K38" s="43" t="str">
        <f ca="1">+INDEX(WORLDCUP!$AR$6:$AR$97,MATCH(L38,WORLDCUP!$AI$6:$AI$97,0))&amp;"-"&amp;INDEX(WORLDCUP!$AS$6:$AS$97,MATCH(L38,WORLDCUP!$AI$6:$AI$97,0))</f>
        <v>0-0</v>
      </c>
      <c r="L38" s="181" t="s">
        <v>94</v>
      </c>
      <c r="M38" s="181">
        <v>48</v>
      </c>
      <c r="N38" s="561"/>
      <c r="O38" s="444" t="str">
        <f ca="1">+MID(INDEX(WORLDCUP!$AA$4:$AA$147,MATCH(M38,WORLDCUP!$AH$4:$AH$147,0)),1,3)</f>
        <v>Col</v>
      </c>
      <c r="P38" s="445" t="str">
        <f>IF(ISBLANK(INDEX(WORLDCUP!$AC$4:$AC$147,MATCH(M38,WORLDCUP!$AH$4:$AH$147,0))),"",INDEX(WORLDCUP!$AC$4:$AC$147,MATCH(M38,WORLDCUP!$AH$4:$AH$147,0)))</f>
        <v/>
      </c>
      <c r="Q38" s="445" t="str">
        <f>IF(ISBLANK(INDEX(WORLDCUP!$AD$4:$AD$147,MATCH(M38,WORLDCUP!$AH$4:$AH$147,0))),"",INDEX(WORLDCUP!$AD$4:$AD$147,MATCH(M38,WORLDCUP!$AH$4:$AH$147,0)))</f>
        <v/>
      </c>
      <c r="R38" s="446" t="str">
        <f ca="1">+MID(INDEX(WORLDCUP!$AF$4:$AF$147,MATCH(M38,WORLDCUP!$AH$4:$AH$147,0)),1,3)</f>
        <v xml:space="preserve">DR </v>
      </c>
      <c r="S38" s="467">
        <v>3</v>
      </c>
      <c r="T38" s="468" t="str">
        <f ca="1">+MID(INDEX(WORLDCUP!$AL$6:$AL$97,MATCH(X38,WORLDCUP!$AI$6:$AI$97,0)),1,3)</f>
        <v>Uzb</v>
      </c>
      <c r="U38" s="38">
        <f ca="1">+INDEX(WORLDCUP!$AM$6:$AM$97,MATCH(X38,WORLDCUP!$AI$6:$AI$97,0))</f>
        <v>0</v>
      </c>
      <c r="V38" s="39">
        <f ca="1">+INDEX(WORLDCUP!$AT$6:$AT$97,MATCH(X38,WORLDCUP!$AI$6:$AI$97,0))</f>
        <v>0</v>
      </c>
      <c r="W38" s="43" t="str">
        <f ca="1">+INDEX(WORLDCUP!$AR$6:$AR$97,MATCH(X38,WORLDCUP!$AI$6:$AI$97,0))&amp;"-"&amp;INDEX(WORLDCUP!$AS$6:$AS$97,MATCH(X38,WORLDCUP!$AI$6:$AI$97,0))</f>
        <v>0-0</v>
      </c>
      <c r="X38" s="181" t="s">
        <v>452</v>
      </c>
      <c r="Y38" s="181"/>
      <c r="Z38" s="425"/>
      <c r="AA38" s="494"/>
      <c r="AB38" s="494"/>
      <c r="AC38" s="494"/>
      <c r="AD38" s="181"/>
      <c r="AE38" s="429"/>
      <c r="AF38" s="429"/>
      <c r="AG38" s="429"/>
      <c r="AH38" s="181"/>
      <c r="AI38" s="459"/>
      <c r="AJ38" s="459"/>
      <c r="AK38" s="499"/>
      <c r="AL38" s="181">
        <v>102</v>
      </c>
      <c r="AM38" s="508" t="str" cm="1">
        <f t="array" ref="AM38">+MID(INDEX(WORLDCUP!$AF$101:$AF$147,MATCH(AL38,WORLDCUP!$Z$101:$Z$147,0)),1,IF(OR(ISBLANK(AC134:AD134)),4,3))</f>
        <v>W100</v>
      </c>
      <c r="AN38" s="509" t="str">
        <f>+IF(ISBLANK(INDEX(WORLDCUP!$AD$101:$AD$147,MATCH(AL38,WORLDCUP!$Z$101:$Z$147,0))),"",INDEX(WORLDCUP!$AD$101:$AD$147,MATCH(AL38,WORLDCUP!$Z$101:$Z$147,0)))</f>
        <v/>
      </c>
      <c r="AO38" s="431" t="str">
        <f>+IF(ISBLANK(INDEX(WORLDCUP!$AE$101:$AE$147,MATCH(AL38,WORLDCUP!$Z$101:$Z$147,0))),"","( "&amp;INDEX(WORLDCUP!$AE$101:$AE$147,MATCH(AL38,WORLDCUP!$Z$101:$Z$147,0))&amp;" )")</f>
        <v/>
      </c>
      <c r="AP38" s="181"/>
      <c r="AQ38" s="460"/>
      <c r="AR38" s="460"/>
      <c r="AS38" s="460"/>
      <c r="AT38" s="181"/>
      <c r="AU38" s="433"/>
      <c r="AV38" s="433"/>
      <c r="AW38" s="433"/>
      <c r="AX38" s="181"/>
      <c r="AY38" s="153"/>
      <c r="AZ38" s="153"/>
      <c r="BA38" s="153"/>
      <c r="BB38" s="153"/>
      <c r="BC38" s="153"/>
      <c r="BD38" s="153"/>
      <c r="BE38" s="153"/>
      <c r="BG38" s="462" t="str">
        <f ca="1">Horarios!Q37</f>
        <v>Qatar</v>
      </c>
      <c r="BH38" s="463">
        <f t="shared" ca="1" si="0"/>
        <v>1</v>
      </c>
      <c r="BI38" s="463">
        <f ca="1">COUNTIF(Pool!$C$130:$C$161,Fixture!BG38)-BJ38-BK38-BL38-BM38-BN38-BO38</f>
        <v>0</v>
      </c>
      <c r="BJ38" s="464">
        <f ca="1">COUNTIF(Pool!$C$182:$C$197,Fixture!BG38)-BK38-BL38-BM38-BN38-BO38</f>
        <v>0</v>
      </c>
      <c r="BK38" s="465">
        <f ca="1">COUNTIF(Pool!$C$210:$C$217,Fixture!BG38)-BL38-BM38-BN38-BO38</f>
        <v>0</v>
      </c>
      <c r="BL38" s="465">
        <f ca="1">COUNTIF(Pool!$C$226:$C$229,Fixture!BG38)-BM38-BN38-BO38</f>
        <v>0</v>
      </c>
      <c r="BM38" s="463">
        <f ca="1">COUNTIF(Pool!$C$252,Fixture!BG38)</f>
        <v>0</v>
      </c>
      <c r="BN38" s="463">
        <f ca="1">COUNTIF(Pool!$C$251,Fixture!BG38)</f>
        <v>0</v>
      </c>
      <c r="BO38" s="466">
        <f ca="1">COUNTIF(Pool!$C$250,Fixture!BG38)</f>
        <v>0</v>
      </c>
    </row>
    <row r="39" spans="1:67" ht="16" thickBot="1" x14ac:dyDescent="0.25">
      <c r="A39" s="181">
        <v>55</v>
      </c>
      <c r="B39" s="560"/>
      <c r="C39" s="444" t="str">
        <f ca="1">+MID(INDEX(WORLDCUP!$AA$4:$AA$147,MATCH(A39,WORLDCUP!$AH$4:$AH$147,0)),1,3)</f>
        <v>Cur</v>
      </c>
      <c r="D39" s="445" t="str">
        <f>IF(ISBLANK(INDEX(WORLDCUP!$AC$4:$AC$147,MATCH(A39,WORLDCUP!$AH$4:$AH$147,0))),"",INDEX(WORLDCUP!$AC$4:$AC$147,MATCH(A39,WORLDCUP!$AH$4:$AH$147,0)))</f>
        <v/>
      </c>
      <c r="E39" s="445" t="str">
        <f>IF(ISBLANK(INDEX(WORLDCUP!$AD$4:$AD$147,MATCH(A39,WORLDCUP!$AH$4:$AH$147,0))),"",INDEX(WORLDCUP!$AD$4:$AD$147,MATCH(A39,WORLDCUP!$AH$4:$AH$147,0)))</f>
        <v/>
      </c>
      <c r="F39" s="446" t="str">
        <f ca="1">+MID(INDEX(WORLDCUP!$AF$4:$AF$147,MATCH(A39,WORLDCUP!$AH$4:$AH$147,0)),1,3)</f>
        <v>Ivo</v>
      </c>
      <c r="G39" s="467">
        <v>4</v>
      </c>
      <c r="H39" s="476" t="str">
        <f ca="1">+MID(INDEX(WORLDCUP!$AL$6:$AL$97,MATCH(L39,WORLDCUP!$AI$6:$AI$97,0)),1,3)</f>
        <v>Ecu</v>
      </c>
      <c r="I39" s="477">
        <f ca="1">+INDEX(WORLDCUP!$AM$6:$AM$97,MATCH(L39,WORLDCUP!$AI$6:$AI$97,0))</f>
        <v>0</v>
      </c>
      <c r="J39" s="478">
        <f ca="1">+INDEX(WORLDCUP!$AT$6:$AT$97,MATCH(L39,WORLDCUP!$AI$6:$AI$97,0))</f>
        <v>0</v>
      </c>
      <c r="K39" s="479" t="str">
        <f ca="1">+INDEX(WORLDCUP!$AR$6:$AR$97,MATCH(L39,WORLDCUP!$AI$6:$AI$97,0))&amp;"-"&amp;INDEX(WORLDCUP!$AS$6:$AS$97,MATCH(L39,WORLDCUP!$AI$6:$AI$97,0))</f>
        <v>0-0</v>
      </c>
      <c r="L39" s="181" t="s">
        <v>674</v>
      </c>
      <c r="M39" s="181">
        <v>71</v>
      </c>
      <c r="N39" s="561"/>
      <c r="O39" s="444" t="str">
        <f ca="1">+MID(INDEX(WORLDCUP!$AA$4:$AA$147,MATCH(M39,WORLDCUP!$AH$4:$AH$147,0)),1,3)</f>
        <v>Col</v>
      </c>
      <c r="P39" s="445" t="str">
        <f>IF(ISBLANK(INDEX(WORLDCUP!$AC$4:$AC$147,MATCH(M39,WORLDCUP!$AH$4:$AH$147,0))),"",INDEX(WORLDCUP!$AC$4:$AC$147,MATCH(M39,WORLDCUP!$AH$4:$AH$147,0)))</f>
        <v/>
      </c>
      <c r="Q39" s="445" t="str">
        <f>IF(ISBLANK(INDEX(WORLDCUP!$AD$4:$AD$147,MATCH(M39,WORLDCUP!$AH$4:$AH$147,0))),"",INDEX(WORLDCUP!$AD$4:$AD$147,MATCH(M39,WORLDCUP!$AH$4:$AH$147,0)))</f>
        <v/>
      </c>
      <c r="R39" s="446" t="str">
        <f ca="1">+MID(INDEX(WORLDCUP!$AF$4:$AF$147,MATCH(M39,WORLDCUP!$AH$4:$AH$147,0)),1,3)</f>
        <v>Por</v>
      </c>
      <c r="S39" s="467">
        <v>4</v>
      </c>
      <c r="T39" s="476" t="str">
        <f ca="1">+MID(INDEX(WORLDCUP!$AL$6:$AL$97,MATCH(X39,WORLDCUP!$AI$6:$AI$97,0)),1,3)</f>
        <v>Col</v>
      </c>
      <c r="U39" s="477">
        <f ca="1">+INDEX(WORLDCUP!$AM$6:$AM$97,MATCH(X39,WORLDCUP!$AI$6:$AI$97,0))</f>
        <v>0</v>
      </c>
      <c r="V39" s="478">
        <f ca="1">+INDEX(WORLDCUP!$AT$6:$AT$97,MATCH(X39,WORLDCUP!$AI$6:$AI$97,0))</f>
        <v>0</v>
      </c>
      <c r="W39" s="479" t="str">
        <f ca="1">+INDEX(WORLDCUP!$AR$6:$AR$97,MATCH(X39,WORLDCUP!$AI$6:$AI$97,0))&amp;"-"&amp;INDEX(WORLDCUP!$AS$6:$AS$97,MATCH(X39,WORLDCUP!$AI$6:$AI$97,0))</f>
        <v>0-0</v>
      </c>
      <c r="X39" s="181" t="s">
        <v>692</v>
      </c>
      <c r="Y39" s="181">
        <v>86</v>
      </c>
      <c r="Z39" s="425" t="s">
        <v>687</v>
      </c>
      <c r="AA39" s="426" t="str">
        <f ca="1">+MID(INDEX(WORLDCUP!$AA$101:$AA$147,MATCH(Y39,WORLDCUP!$Z$101:$Z$147,0)),1,3)</f>
        <v>1J</v>
      </c>
      <c r="AB39" s="427" t="str">
        <f>+IF(ISBLANK(INDEX(WORLDCUP!$AC$101:$AC$147,MATCH(Y39,WORLDCUP!$Z$101:$Z$147,0))),"",INDEX(WORLDCUP!$AC$101:$AC$147,MATCH(Y39,WORLDCUP!$Z$101:$Z$147,0)))</f>
        <v/>
      </c>
      <c r="AC39" s="498" t="str">
        <f>+IF(ISBLANK(INDEX(WORLDCUP!$AB$101:$AB$147,MATCH(Y39,WORLDCUP!$Z$101:$Z$147,0))),"","( "&amp;INDEX(WORLDCUP!$AB$101:$AB$147,MATCH(Y39,WORLDCUP!$Z$101:$Z$147,0))&amp;" )")</f>
        <v/>
      </c>
      <c r="AD39" s="179"/>
      <c r="AE39" s="429"/>
      <c r="AF39" s="429"/>
      <c r="AG39" s="429"/>
      <c r="AH39" s="181"/>
      <c r="AI39" s="459"/>
      <c r="AJ39" s="459"/>
      <c r="AK39" s="499"/>
      <c r="AL39" s="415"/>
      <c r="AM39" s="431"/>
      <c r="AN39" s="431"/>
      <c r="AO39" s="431"/>
      <c r="AP39" s="181"/>
      <c r="AQ39" s="460"/>
      <c r="AR39" s="460"/>
      <c r="AS39" s="460"/>
      <c r="AT39" s="181"/>
      <c r="AU39" s="433"/>
      <c r="AV39" s="433"/>
      <c r="AW39" s="433"/>
      <c r="AX39" s="181"/>
      <c r="AY39" s="153"/>
      <c r="AZ39" s="153"/>
      <c r="BA39" s="153"/>
      <c r="BB39" s="153"/>
      <c r="BC39" s="153"/>
      <c r="BD39" s="153"/>
      <c r="BE39" s="153"/>
      <c r="BG39" s="462" t="str">
        <f ca="1">Horarios!Q38</f>
        <v>Saudi Arabia</v>
      </c>
      <c r="BH39" s="463">
        <f t="shared" ca="1" si="0"/>
        <v>1</v>
      </c>
      <c r="BI39" s="463">
        <f ca="1">COUNTIF(Pool!$C$130:$C$161,Fixture!BG39)-BJ39-BK39-BL39-BM39-BN39-BO39</f>
        <v>0</v>
      </c>
      <c r="BJ39" s="464">
        <f ca="1">COUNTIF(Pool!$C$182:$C$197,Fixture!BG39)-BK39-BL39-BM39-BN39-BO39</f>
        <v>0</v>
      </c>
      <c r="BK39" s="465">
        <f ca="1">COUNTIF(Pool!$C$210:$C$217,Fixture!BG39)-BL39-BM39-BN39-BO39</f>
        <v>0</v>
      </c>
      <c r="BL39" s="465">
        <f ca="1">COUNTIF(Pool!$C$226:$C$229,Fixture!BG39)-BM39-BN39-BO39</f>
        <v>0</v>
      </c>
      <c r="BM39" s="463">
        <f ca="1">COUNTIF(Pool!$C$252,Fixture!BG39)</f>
        <v>0</v>
      </c>
      <c r="BN39" s="463">
        <f ca="1">COUNTIF(Pool!$C$251,Fixture!BG39)</f>
        <v>0</v>
      </c>
      <c r="BO39" s="466">
        <f ca="1">COUNTIF(Pool!$C$250,Fixture!BG39)</f>
        <v>0</v>
      </c>
    </row>
    <row r="40" spans="1:67" ht="16" thickBot="1" x14ac:dyDescent="0.25">
      <c r="A40" s="181">
        <v>56</v>
      </c>
      <c r="B40" s="563"/>
      <c r="C40" s="487" t="str">
        <f ca="1">+MID(INDEX(WORLDCUP!$AA$4:$AA$147,MATCH(A40,WORLDCUP!$AH$4:$AH$147,0)),1,3)</f>
        <v>Ecu</v>
      </c>
      <c r="D40" s="488" t="str">
        <f>IF(ISBLANK(INDEX(WORLDCUP!$AC$4:$AC$147,MATCH(A40,WORLDCUP!$AH$4:$AH$147,0))),"",INDEX(WORLDCUP!$AC$4:$AC$147,MATCH(A40,WORLDCUP!$AH$4:$AH$147,0)))</f>
        <v/>
      </c>
      <c r="E40" s="488" t="str">
        <f>IF(ISBLANK(INDEX(WORLDCUP!$AD$4:$AD$147,MATCH(A40,WORLDCUP!$AH$4:$AH$147,0))),"",INDEX(WORLDCUP!$AD$4:$AD$147,MATCH(A40,WORLDCUP!$AH$4:$AH$147,0)))</f>
        <v/>
      </c>
      <c r="F40" s="489" t="str">
        <f ca="1">+MID(INDEX(WORLDCUP!$AF$4:$AF$147,MATCH(A40,WORLDCUP!$AH$4:$AH$147,0)),1,3)</f>
        <v>Ger</v>
      </c>
      <c r="G40" s="490"/>
      <c r="H40" s="490"/>
      <c r="I40" s="491"/>
      <c r="J40" s="491"/>
      <c r="K40" s="492"/>
      <c r="L40" s="181"/>
      <c r="M40" s="181">
        <v>72</v>
      </c>
      <c r="N40" s="564"/>
      <c r="O40" s="487" t="str">
        <f ca="1">+MID(INDEX(WORLDCUP!$AA$4:$AA$147,MATCH(M40,WORLDCUP!$AH$4:$AH$147,0)),1,3)</f>
        <v xml:space="preserve">DR </v>
      </c>
      <c r="P40" s="488" t="str">
        <f>IF(ISBLANK(INDEX(WORLDCUP!$AC$4:$AC$147,MATCH(M40,WORLDCUP!$AH$4:$AH$147,0))),"",INDEX(WORLDCUP!$AC$4:$AC$147,MATCH(M40,WORLDCUP!$AH$4:$AH$147,0)))</f>
        <v/>
      </c>
      <c r="Q40" s="488" t="str">
        <f>IF(ISBLANK(INDEX(WORLDCUP!$AD$4:$AD$147,MATCH(M40,WORLDCUP!$AH$4:$AH$147,0))),"",INDEX(WORLDCUP!$AD$4:$AD$147,MATCH(M40,WORLDCUP!$AH$4:$AH$147,0)))</f>
        <v/>
      </c>
      <c r="R40" s="489" t="str">
        <f ca="1">+MID(INDEX(WORLDCUP!$AF$4:$AF$147,MATCH(M40,WORLDCUP!$AH$4:$AH$147,0)),1,3)</f>
        <v>Uzb</v>
      </c>
      <c r="S40" s="490"/>
      <c r="T40" s="490"/>
      <c r="U40" s="491"/>
      <c r="V40" s="491"/>
      <c r="W40" s="492"/>
      <c r="X40" s="181"/>
      <c r="Y40" s="181">
        <v>86</v>
      </c>
      <c r="Z40" s="425" t="s">
        <v>682</v>
      </c>
      <c r="AA40" s="426" t="str">
        <f ca="1">+MID(INDEX(WORLDCUP!$AF$101:$AF$147,MATCH(Y40,WORLDCUP!$Z$101:$Z$147,0)),1,3)</f>
        <v>2H</v>
      </c>
      <c r="AB40" s="453" t="str">
        <f>+IF(ISBLANK(INDEX(WORLDCUP!$AD$101:$AD$147,MATCH(Y40,WORLDCUP!$Z$101:$Z$147,0))),"",INDEX(WORLDCUP!$AD$101:$AD$147,MATCH(Y40,WORLDCUP!$Z$101:$Z$147,0)))</f>
        <v/>
      </c>
      <c r="AC40" s="454" t="str">
        <f>+IF(ISBLANK(INDEX(WORLDCUP!$AE$101:$AE$147,MATCH(Y40,WORLDCUP!$Z$101:$Z$147,0))),"","( "&amp;INDEX(WORLDCUP!$AE$101:$AE$147,MATCH(Y40,WORLDCUP!$Z$101:$Z$147,0))&amp;" )")</f>
        <v/>
      </c>
      <c r="AD40" s="455">
        <v>95</v>
      </c>
      <c r="AE40" s="456" t="str">
        <f>+MID(INDEX(WORLDCUP!$AA$101:$AA$147,MATCH(AD40,WORLDCUP!$Z$101:$Z$147,0)),1,3)</f>
        <v>W86</v>
      </c>
      <c r="AF40" s="457" t="str">
        <f>+IF(ISBLANK(INDEX(WORLDCUP!$AC$101:$AC$147,MATCH(AD40,WORLDCUP!$Z$101:$Z$147,0))),"",INDEX(WORLDCUP!$AC$101:$AC$147,MATCH(AD40,WORLDCUP!$Z$101:$Z$147,0)))</f>
        <v/>
      </c>
      <c r="AG40" s="458" t="str">
        <f>+IF(ISBLANK(INDEX(WORLDCUP!$AB$101:$AB$147,MATCH(AD40,WORLDCUP!$Z$101:$Z$147,0))),"","( "&amp;INDEX(WORLDCUP!$AB$101:$AB$147,MATCH(AD40,WORLDCUP!$Z$101:$Z$147,0))&amp;" )")</f>
        <v/>
      </c>
      <c r="AH40" s="181"/>
      <c r="AI40" s="459"/>
      <c r="AJ40" s="459"/>
      <c r="AK40" s="499"/>
      <c r="AL40" s="415"/>
      <c r="AM40" s="431"/>
      <c r="AN40" s="431"/>
      <c r="AO40" s="431"/>
      <c r="AP40" s="181"/>
      <c r="AQ40" s="460"/>
      <c r="AR40" s="460"/>
      <c r="AS40" s="460"/>
      <c r="AT40" s="181"/>
      <c r="AU40" s="433"/>
      <c r="AV40" s="433"/>
      <c r="AW40" s="433"/>
      <c r="AX40" s="181"/>
      <c r="AY40" s="153"/>
      <c r="AZ40" s="153"/>
      <c r="BA40" s="153"/>
      <c r="BB40" s="153"/>
      <c r="BC40" s="153"/>
      <c r="BD40" s="153"/>
      <c r="BE40" s="153"/>
      <c r="BG40" s="462" t="str">
        <f ca="1">Horarios!Q39</f>
        <v>Scotland</v>
      </c>
      <c r="BH40" s="463">
        <f t="shared" ca="1" si="0"/>
        <v>1</v>
      </c>
      <c r="BI40" s="463">
        <f ca="1">COUNTIF(Pool!$C$130:$C$161,Fixture!BG40)-BJ40-BK40-BL40-BM40-BN40-BO40</f>
        <v>0</v>
      </c>
      <c r="BJ40" s="464">
        <f ca="1">COUNTIF(Pool!$C$182:$C$197,Fixture!BG40)-BK40-BL40-BM40-BN40-BO40</f>
        <v>0</v>
      </c>
      <c r="BK40" s="465">
        <f ca="1">COUNTIF(Pool!$C$210:$C$217,Fixture!BG40)-BL40-BM40-BN40-BO40</f>
        <v>0</v>
      </c>
      <c r="BL40" s="465">
        <f ca="1">COUNTIF(Pool!$C$226:$C$229,Fixture!BG40)-BM40-BN40-BO40</f>
        <v>0</v>
      </c>
      <c r="BM40" s="463">
        <f ca="1">COUNTIF(Pool!$C$252,Fixture!BG40)</f>
        <v>0</v>
      </c>
      <c r="BN40" s="463">
        <f ca="1">COUNTIF(Pool!$C$251,Fixture!BG40)</f>
        <v>0</v>
      </c>
      <c r="BO40" s="466">
        <f ca="1">COUNTIF(Pool!$C$250,Fixture!BG40)</f>
        <v>0</v>
      </c>
    </row>
    <row r="41" spans="1:67" x14ac:dyDescent="0.2">
      <c r="A41" s="181"/>
      <c r="B41" s="411"/>
      <c r="C41" s="496"/>
      <c r="D41" s="497"/>
      <c r="E41" s="497"/>
      <c r="F41" s="153"/>
      <c r="G41" s="153"/>
      <c r="H41" s="496"/>
      <c r="I41" s="153"/>
      <c r="J41" s="153"/>
      <c r="K41" s="153"/>
      <c r="L41" s="181"/>
      <c r="M41" s="181"/>
      <c r="N41" s="151"/>
      <c r="O41" s="496"/>
      <c r="P41" s="497"/>
      <c r="Q41" s="497"/>
      <c r="R41" s="153"/>
      <c r="S41" s="153"/>
      <c r="T41" s="496"/>
      <c r="U41" s="153"/>
      <c r="V41" s="153"/>
      <c r="W41" s="153"/>
      <c r="X41" s="181"/>
      <c r="Y41" s="181"/>
      <c r="Z41" s="425"/>
      <c r="AA41" s="469"/>
      <c r="AB41" s="469"/>
      <c r="AC41" s="470"/>
      <c r="AD41" s="181">
        <v>95</v>
      </c>
      <c r="AE41" s="456" t="str">
        <f>+MID(INDEX(WORLDCUP!$AF$101:$AF$147,MATCH(AD41,WORLDCUP!$Z$101:$Z$147,0)),1,3)</f>
        <v>W88</v>
      </c>
      <c r="AF41" s="457" t="str">
        <f>+IF(ISBLANK(INDEX(WORLDCUP!$AD$101:$AD$147,MATCH(AD41,WORLDCUP!$Z$101:$Z$147,0))),"",INDEX(WORLDCUP!$AD$101:$AD$147,MATCH(AD41,WORLDCUP!$Z$101:$Z$147,0)))</f>
        <v/>
      </c>
      <c r="AG41" s="515" t="str">
        <f>+IF(ISBLANK(INDEX(WORLDCUP!$AE$101:$AE$147,MATCH(AD41,WORLDCUP!$Z$101:$Z$147,0))),"","( "&amp;INDEX(WORLDCUP!$AE$101:$AE$147,MATCH(AD41,WORLDCUP!$Z$101:$Z$147,0))&amp;" )")</f>
        <v/>
      </c>
      <c r="AH41" s="181"/>
      <c r="AI41" s="459"/>
      <c r="AJ41" s="459"/>
      <c r="AK41" s="499"/>
      <c r="AL41" s="415"/>
      <c r="AM41" s="431"/>
      <c r="AN41" s="431"/>
      <c r="AO41" s="431"/>
      <c r="AP41" s="181"/>
      <c r="AQ41" s="460"/>
      <c r="AR41" s="460"/>
      <c r="AS41" s="460"/>
      <c r="AT41" s="181"/>
      <c r="AU41" s="433"/>
      <c r="AV41" s="433"/>
      <c r="AW41" s="433"/>
      <c r="AX41" s="181"/>
      <c r="AY41" s="153"/>
      <c r="AZ41" s="153"/>
      <c r="BA41" s="153"/>
      <c r="BB41" s="153"/>
      <c r="BC41" s="153"/>
      <c r="BD41" s="153"/>
      <c r="BE41" s="153"/>
      <c r="BG41" s="462" t="str">
        <f ca="1">Horarios!Q40</f>
        <v>Senegal</v>
      </c>
      <c r="BH41" s="463">
        <f t="shared" ca="1" si="0"/>
        <v>1</v>
      </c>
      <c r="BI41" s="463">
        <f ca="1">COUNTIF(Pool!$C$130:$C$161,Fixture!BG41)-BJ41-BK41-BL41-BM41-BN41-BO41</f>
        <v>0</v>
      </c>
      <c r="BJ41" s="464">
        <f ca="1">COUNTIF(Pool!$C$182:$C$197,Fixture!BG41)-BK41-BL41-BM41-BN41-BO41</f>
        <v>0</v>
      </c>
      <c r="BK41" s="465">
        <f ca="1">COUNTIF(Pool!$C$210:$C$217,Fixture!BG41)-BL41-BM41-BN41-BO41</f>
        <v>0</v>
      </c>
      <c r="BL41" s="465">
        <f ca="1">COUNTIF(Pool!$C$226:$C$229,Fixture!BG41)-BM41-BN41-BO41</f>
        <v>0</v>
      </c>
      <c r="BM41" s="463">
        <f ca="1">COUNTIF(Pool!$C$252,Fixture!BG41)</f>
        <v>0</v>
      </c>
      <c r="BN41" s="463">
        <f ca="1">COUNTIF(Pool!$C$251,Fixture!BG41)</f>
        <v>0</v>
      </c>
      <c r="BO41" s="466">
        <f ca="1">COUNTIF(Pool!$C$250,Fixture!BG41)</f>
        <v>0</v>
      </c>
    </row>
    <row r="42" spans="1:67" ht="16" thickBot="1" x14ac:dyDescent="0.25">
      <c r="A42" s="181"/>
      <c r="B42" s="411"/>
      <c r="C42" s="496"/>
      <c r="D42" s="497"/>
      <c r="E42" s="497"/>
      <c r="F42" s="153"/>
      <c r="G42" s="153"/>
      <c r="H42" s="496"/>
      <c r="I42" s="153"/>
      <c r="J42" s="153"/>
      <c r="K42" s="153"/>
      <c r="L42" s="181"/>
      <c r="M42" s="181"/>
      <c r="N42" s="151"/>
      <c r="O42" s="496"/>
      <c r="P42" s="497"/>
      <c r="Q42" s="497"/>
      <c r="R42" s="153"/>
      <c r="S42" s="153"/>
      <c r="T42" s="496"/>
      <c r="U42" s="153"/>
      <c r="V42" s="153"/>
      <c r="W42" s="153"/>
      <c r="X42" s="181"/>
      <c r="Y42" s="181">
        <v>88</v>
      </c>
      <c r="Z42" s="425" t="s">
        <v>670</v>
      </c>
      <c r="AA42" s="426" t="str">
        <f ca="1">+MID(INDEX(WORLDCUP!$AA$101:$AA$147,MATCH(Y42,WORLDCUP!$Z$101:$Z$147,0)),1,3)</f>
        <v>2D</v>
      </c>
      <c r="AB42" s="472" t="str">
        <f>+IF(ISBLANK(INDEX(WORLDCUP!$AC$101:$AC$147,MATCH(Y42,WORLDCUP!$Z$101:$Z$147,0))),"",INDEX(WORLDCUP!$AC$101:$AC$147,MATCH(Y42,WORLDCUP!$Z$101:$Z$147,0)))</f>
        <v/>
      </c>
      <c r="AC42" s="506" t="str">
        <f>+IF(ISBLANK(INDEX(WORLDCUP!$AB$101:$AB$147,MATCH(Y42,WORLDCUP!$Z$101:$Z$147,0))),"","( "&amp;INDEX(WORLDCUP!$AB$101:$AB$147,MATCH(Y42,WORLDCUP!$Z$101:$Z$147,0))&amp;" )")</f>
        <v/>
      </c>
      <c r="AD42" s="181"/>
      <c r="AE42" s="474"/>
      <c r="AF42" s="474"/>
      <c r="AG42" s="475"/>
      <c r="AH42" s="181"/>
      <c r="AI42" s="459"/>
      <c r="AJ42" s="459"/>
      <c r="AK42" s="499"/>
      <c r="AL42" s="415"/>
      <c r="AM42" s="431"/>
      <c r="AN42" s="431"/>
      <c r="AO42" s="431"/>
      <c r="AP42" s="181"/>
      <c r="AQ42" s="460"/>
      <c r="AR42" s="460"/>
      <c r="AS42" s="460"/>
      <c r="AT42" s="181"/>
      <c r="AU42" s="433"/>
      <c r="AV42" s="433"/>
      <c r="AW42" s="433"/>
      <c r="AX42" s="181"/>
      <c r="AY42" s="153"/>
      <c r="AZ42" s="153"/>
      <c r="BA42" s="153"/>
      <c r="BB42" s="153"/>
      <c r="BC42" s="153"/>
      <c r="BD42" s="153"/>
      <c r="BE42" s="153"/>
      <c r="BG42" s="462" t="str">
        <f ca="1">Horarios!Q41</f>
        <v>South Africa</v>
      </c>
      <c r="BH42" s="463">
        <f t="shared" ca="1" si="0"/>
        <v>1</v>
      </c>
      <c r="BI42" s="463">
        <f ca="1">COUNTIF(Pool!$C$130:$C$161,Fixture!BG42)-BJ42-BK42-BL42-BM42-BN42-BO42</f>
        <v>0</v>
      </c>
      <c r="BJ42" s="464">
        <f ca="1">COUNTIF(Pool!$C$182:$C$197,Fixture!BG42)-BK42-BL42-BM42-BN42-BO42</f>
        <v>0</v>
      </c>
      <c r="BK42" s="465">
        <f ca="1">COUNTIF(Pool!$C$210:$C$217,Fixture!BG42)-BL42-BM42-BN42-BO42</f>
        <v>0</v>
      </c>
      <c r="BL42" s="465">
        <f ca="1">COUNTIF(Pool!$C$226:$C$229,Fixture!BG42)-BM42-BN42-BO42</f>
        <v>0</v>
      </c>
      <c r="BM42" s="463">
        <f ca="1">COUNTIF(Pool!$C$252,Fixture!BG42)</f>
        <v>0</v>
      </c>
      <c r="BN42" s="463">
        <f ca="1">COUNTIF(Pool!$C$251,Fixture!BG42)</f>
        <v>0</v>
      </c>
      <c r="BO42" s="466">
        <f ca="1">COUNTIF(Pool!$C$250,Fixture!BG42)</f>
        <v>0</v>
      </c>
    </row>
    <row r="43" spans="1:67" ht="16" thickBot="1" x14ac:dyDescent="0.25">
      <c r="A43" s="181">
        <v>11</v>
      </c>
      <c r="B43" s="565" t="s">
        <v>4</v>
      </c>
      <c r="C43" s="417" t="str">
        <f ca="1">+MID(INDEX(WORLDCUP!$AA$4:$AA$147,MATCH(A43,WORLDCUP!$AH$4:$AH$147,0)),1,3)</f>
        <v>Net</v>
      </c>
      <c r="D43" s="418" t="str">
        <f>IF(ISBLANK(INDEX(WORLDCUP!$AC$4:$AC$147,MATCH(A43,WORLDCUP!$AH$4:$AH$147,0))),"",INDEX(WORLDCUP!$AC$4:$AC$147,MATCH(A43,WORLDCUP!$AH$4:$AH$147,0)))</f>
        <v/>
      </c>
      <c r="E43" s="418" t="str">
        <f>IF(ISBLANK(INDEX(WORLDCUP!$AD$4:$AD$147,MATCH(A43,WORLDCUP!$AH$4:$AH$147,0))),"",INDEX(WORLDCUP!$AD$4:$AD$147,MATCH(A43,WORLDCUP!$AH$4:$AH$147,0)))</f>
        <v/>
      </c>
      <c r="F43" s="419" t="str">
        <f ca="1">+MID(INDEX(WORLDCUP!$AF$4:$AF$147,MATCH(A43,WORLDCUP!$AH$4:$AH$147,0)),1,3)</f>
        <v>Jap</v>
      </c>
      <c r="G43" s="420"/>
      <c r="H43" s="421" t="str">
        <f>+H35</f>
        <v>Nat</v>
      </c>
      <c r="I43" s="422" t="str">
        <f>+I35</f>
        <v>Pts</v>
      </c>
      <c r="J43" s="422" t="str">
        <f>+J35</f>
        <v>GD</v>
      </c>
      <c r="K43" s="423" t="str">
        <f>+K35</f>
        <v>F-A</v>
      </c>
      <c r="L43" s="181"/>
      <c r="M43" s="181">
        <v>22</v>
      </c>
      <c r="N43" s="566" t="s">
        <v>247</v>
      </c>
      <c r="O43" s="417" t="str">
        <f ca="1">+MID(INDEX(WORLDCUP!$AA$4:$AA$147,MATCH(M43,WORLDCUP!$AH$4:$AH$147,0)),1,3)</f>
        <v>Eng</v>
      </c>
      <c r="P43" s="418" t="str">
        <f>IF(ISBLANK(INDEX(WORLDCUP!$AC$4:$AC$147,MATCH(M43,WORLDCUP!$AH$4:$AH$147,0))),"",INDEX(WORLDCUP!$AC$4:$AC$147,MATCH(M43,WORLDCUP!$AH$4:$AH$147,0)))</f>
        <v/>
      </c>
      <c r="Q43" s="418" t="str">
        <f>IF(ISBLANK(INDEX(WORLDCUP!$AD$4:$AD$147,MATCH(M43,WORLDCUP!$AH$4:$AH$147,0))),"",INDEX(WORLDCUP!$AD$4:$AD$147,MATCH(M43,WORLDCUP!$AH$4:$AH$147,0)))</f>
        <v/>
      </c>
      <c r="R43" s="419" t="str">
        <f ca="1">+MID(INDEX(WORLDCUP!$AF$4:$AF$147,MATCH(M43,WORLDCUP!$AH$4:$AH$147,0)),1,3)</f>
        <v>Cro</v>
      </c>
      <c r="S43" s="420"/>
      <c r="T43" s="421" t="str">
        <f>+T35</f>
        <v>Nat</v>
      </c>
      <c r="U43" s="422" t="str">
        <f>+U35</f>
        <v>Pts</v>
      </c>
      <c r="V43" s="422" t="str">
        <f>+V35</f>
        <v>GD</v>
      </c>
      <c r="W43" s="423" t="str">
        <f>+W35</f>
        <v>F-A</v>
      </c>
      <c r="X43" s="181"/>
      <c r="Y43" s="181">
        <v>88</v>
      </c>
      <c r="Z43" s="425" t="s">
        <v>679</v>
      </c>
      <c r="AA43" s="480" t="str">
        <f ca="1">+MID(INDEX(WORLDCUP!$AF$101:$AF$147,MATCH(Y43,WORLDCUP!$Z$101:$Z$147,0)),1,3)</f>
        <v>2G</v>
      </c>
      <c r="AB43" s="481" t="str">
        <f>+IF(ISBLANK(INDEX(WORLDCUP!$AD$101:$AD$147,MATCH(Y43,WORLDCUP!$Z$101:$Z$147,0))),"",INDEX(WORLDCUP!$AD$101:$AD$147,MATCH(Y43,WORLDCUP!$Z$101:$Z$147,0)))</f>
        <v/>
      </c>
      <c r="AC43" s="507" t="str">
        <f>+IF(ISBLANK(INDEX(WORLDCUP!$AE$101:$AE$147,MATCH(Y43,WORLDCUP!$Z$101:$Z$147,0))),"","( "&amp;INDEX(WORLDCUP!$AE$101:$AE$147,MATCH(Y43,WORLDCUP!$Z$101:$Z$147,0))&amp;" )")</f>
        <v/>
      </c>
      <c r="AD43" s="181"/>
      <c r="AE43" s="474"/>
      <c r="AF43" s="474"/>
      <c r="AG43" s="475"/>
      <c r="AH43" s="500">
        <v>100</v>
      </c>
      <c r="AI43" s="483" t="str">
        <f>+MID(INDEX(WORLDCUP!$AA$101:$AA$147,MATCH(AH43,WORLDCUP!$Z$101:$Z$147,0)),1,3)</f>
        <v>W95</v>
      </c>
      <c r="AJ43" s="484" t="str">
        <f>+IF(ISBLANK(INDEX(WORLDCUP!$AC$101:$AC$147,MATCH(AH43,WORLDCUP!$Z$101:$Z$147,0))),"",INDEX(WORLDCUP!$AC$101:$AC$147,MATCH(AH43,WORLDCUP!$Z$101:$Z$147,0)))</f>
        <v/>
      </c>
      <c r="AK43" s="520" t="str">
        <f>+IF(ISBLANK(INDEX(WORLDCUP!$AB$101:$AB$147,MATCH(AH43,WORLDCUP!$Z$101:$Z$147,0))),"","( "&amp;INDEX(WORLDCUP!$AB$101:$AB$147,MATCH(AH43,WORLDCUP!$Z$101:$Z$147,0))&amp;" )")</f>
        <v/>
      </c>
      <c r="AL43" s="415"/>
      <c r="AM43" s="431"/>
      <c r="AN43" s="431"/>
      <c r="AO43" s="431"/>
      <c r="AP43" s="181"/>
      <c r="AQ43" s="460"/>
      <c r="AR43" s="460"/>
      <c r="AS43" s="460"/>
      <c r="AT43" s="181"/>
      <c r="AU43" s="433"/>
      <c r="AV43" s="433"/>
      <c r="AW43" s="433"/>
      <c r="AX43" s="181"/>
      <c r="AY43" s="153"/>
      <c r="AZ43" s="153"/>
      <c r="BA43" s="153"/>
      <c r="BB43" s="153"/>
      <c r="BC43" s="153"/>
      <c r="BD43" s="153"/>
      <c r="BE43" s="153"/>
      <c r="BG43" s="462" t="str">
        <f ca="1">Horarios!Q42</f>
        <v>South Korea</v>
      </c>
      <c r="BH43" s="463">
        <f t="shared" ca="1" si="0"/>
        <v>1</v>
      </c>
      <c r="BI43" s="463">
        <f ca="1">COUNTIF(Pool!$C$130:$C$161,Fixture!BG43)-BJ43-BK43-BL43-BM43-BN43-BO43</f>
        <v>0</v>
      </c>
      <c r="BJ43" s="464">
        <f ca="1">COUNTIF(Pool!$C$182:$C$197,Fixture!BG43)-BK43-BL43-BM43-BN43-BO43</f>
        <v>0</v>
      </c>
      <c r="BK43" s="465">
        <f ca="1">COUNTIF(Pool!$C$210:$C$217,Fixture!BG43)-BL43-BM43-BN43-BO43</f>
        <v>0</v>
      </c>
      <c r="BL43" s="465">
        <f ca="1">COUNTIF(Pool!$C$226:$C$229,Fixture!BG43)-BM43-BN43-BO43</f>
        <v>0</v>
      </c>
      <c r="BM43" s="463">
        <f ca="1">COUNTIF(Pool!$C$252,Fixture!BG43)</f>
        <v>0</v>
      </c>
      <c r="BN43" s="463">
        <f ca="1">COUNTIF(Pool!$C$251,Fixture!BG43)</f>
        <v>0</v>
      </c>
      <c r="BO43" s="466">
        <f ca="1">COUNTIF(Pool!$C$250,Fixture!BG43)</f>
        <v>0</v>
      </c>
    </row>
    <row r="44" spans="1:67" x14ac:dyDescent="0.2">
      <c r="A44" s="181">
        <v>12</v>
      </c>
      <c r="B44" s="567"/>
      <c r="C44" s="444" t="str">
        <f ca="1">+MID(INDEX(WORLDCUP!$AA$4:$AA$147,MATCH(A44,WORLDCUP!$AH$4:$AH$147,0)),1,3)</f>
        <v>Swe</v>
      </c>
      <c r="D44" s="445" t="str">
        <f>IF(ISBLANK(INDEX(WORLDCUP!$AC$4:$AC$147,MATCH(A44,WORLDCUP!$AH$4:$AH$147,0))),"",INDEX(WORLDCUP!$AC$4:$AC$147,MATCH(A44,WORLDCUP!$AH$4:$AH$147,0)))</f>
        <v/>
      </c>
      <c r="E44" s="445" t="str">
        <f>IF(ISBLANK(INDEX(WORLDCUP!$AD$4:$AD$147,MATCH(A44,WORLDCUP!$AH$4:$AH$147,0))),"",INDEX(WORLDCUP!$AD$4:$AD$147,MATCH(A44,WORLDCUP!$AH$4:$AH$147,0)))</f>
        <v/>
      </c>
      <c r="F44" s="446" t="str">
        <f ca="1">+MID(INDEX(WORLDCUP!$AF$4:$AF$147,MATCH(A44,WORLDCUP!$AH$4:$AH$147,0)),1,3)</f>
        <v>Tun</v>
      </c>
      <c r="G44" s="447">
        <v>1</v>
      </c>
      <c r="H44" s="448" t="str">
        <f ca="1">+MID(INDEX(WORLDCUP!$AL$6:$AL$97,MATCH(L44,WORLDCUP!$AI$6:$AI$97,0)),1,3)</f>
        <v>Net</v>
      </c>
      <c r="I44" s="449">
        <f ca="1">+INDEX(WORLDCUP!$AM$6:$AM$97,MATCH(L44,WORLDCUP!$AI$6:$AI$97,0))</f>
        <v>0</v>
      </c>
      <c r="J44" s="450">
        <f ca="1">+INDEX(WORLDCUP!$AT$6:$AT$97,MATCH(L44,WORLDCUP!$AI$6:$AI$97,0))</f>
        <v>0</v>
      </c>
      <c r="K44" s="451" t="str">
        <f ca="1">+INDEX(WORLDCUP!$AR$6:$AR$97,MATCH(L44,WORLDCUP!$AI$6:$AI$97,0))&amp;"-"&amp;INDEX(WORLDCUP!$AS$6:$AS$97,MATCH(L44,WORLDCUP!$AI$6:$AI$97,0))</f>
        <v>0-0</v>
      </c>
      <c r="L44" s="181" t="s">
        <v>675</v>
      </c>
      <c r="M44" s="181">
        <v>21</v>
      </c>
      <c r="N44" s="568"/>
      <c r="O44" s="444" t="str">
        <f ca="1">+MID(INDEX(WORLDCUP!$AA$4:$AA$147,MATCH(M44,WORLDCUP!$AH$4:$AH$147,0)),1,3)</f>
        <v>Gha</v>
      </c>
      <c r="P44" s="445" t="str">
        <f>IF(ISBLANK(INDEX(WORLDCUP!$AC$4:$AC$147,MATCH(M44,WORLDCUP!$AH$4:$AH$147,0))),"",INDEX(WORLDCUP!$AC$4:$AC$147,MATCH(M44,WORLDCUP!$AH$4:$AH$147,0)))</f>
        <v/>
      </c>
      <c r="Q44" s="445" t="str">
        <f>IF(ISBLANK(INDEX(WORLDCUP!$AD$4:$AD$147,MATCH(M44,WORLDCUP!$AH$4:$AH$147,0))),"",INDEX(WORLDCUP!$AD$4:$AD$147,MATCH(M44,WORLDCUP!$AH$4:$AH$147,0)))</f>
        <v/>
      </c>
      <c r="R44" s="446" t="str">
        <f ca="1">+MID(INDEX(WORLDCUP!$AF$4:$AF$147,MATCH(M44,WORLDCUP!$AH$4:$AH$147,0)),1,3)</f>
        <v>Pan</v>
      </c>
      <c r="S44" s="447">
        <v>1</v>
      </c>
      <c r="T44" s="448" t="str">
        <f ca="1">+MID(INDEX(WORLDCUP!$AL$6:$AL$97,MATCH(X44,WORLDCUP!$AI$6:$AI$97,0)),1,3)</f>
        <v>Eng</v>
      </c>
      <c r="U44" s="449">
        <f ca="1">+INDEX(WORLDCUP!$AM$6:$AM$97,MATCH(X44,WORLDCUP!$AI$6:$AI$97,0))</f>
        <v>0</v>
      </c>
      <c r="V44" s="450">
        <f ca="1">+INDEX(WORLDCUP!$AT$6:$AT$97,MATCH(X44,WORLDCUP!$AI$6:$AI$97,0))</f>
        <v>0</v>
      </c>
      <c r="W44" s="451" t="str">
        <f ca="1">+INDEX(WORLDCUP!$AR$6:$AR$97,MATCH(X44,WORLDCUP!$AI$6:$AI$97,0))&amp;"-"&amp;INDEX(WORLDCUP!$AS$6:$AS$97,MATCH(X44,WORLDCUP!$AI$6:$AI$97,0))</f>
        <v>0-0</v>
      </c>
      <c r="X44" s="181" t="s">
        <v>693</v>
      </c>
      <c r="Y44" s="181"/>
      <c r="Z44" s="425"/>
      <c r="AA44" s="494"/>
      <c r="AB44" s="494"/>
      <c r="AC44" s="494"/>
      <c r="AD44" s="181"/>
      <c r="AE44" s="429"/>
      <c r="AF44" s="429"/>
      <c r="AG44" s="475"/>
      <c r="AH44" s="181">
        <v>100</v>
      </c>
      <c r="AI44" s="483" t="str">
        <f>+MID(INDEX(WORLDCUP!$AF$101:$AF$147,MATCH(AH44,WORLDCUP!$Z$101:$Z$147,0)),1,3)</f>
        <v>W96</v>
      </c>
      <c r="AJ44" s="484" t="str">
        <f>+IF(ISBLANK(INDEX(WORLDCUP!$AD$101:$AD$147,MATCH(AH44,WORLDCUP!$Z$101:$Z$147,0))),"",INDEX(WORLDCUP!$AD$101:$AD$147,MATCH(AH44,WORLDCUP!$Z$101:$Z$147,0)))</f>
        <v/>
      </c>
      <c r="AK44" s="459" t="str">
        <f>+IF(ISBLANK(INDEX(WORLDCUP!$AE$101:$AE$147,MATCH(AH44,WORLDCUP!$Z$101:$Z$147,0))),"","( "&amp;INDEX(WORLDCUP!$AE$101:$AE$147,MATCH(AH44,WORLDCUP!$Z$101:$Z$147,0))&amp;" )")</f>
        <v/>
      </c>
      <c r="AL44" s="415"/>
      <c r="AM44" s="431"/>
      <c r="AN44" s="431"/>
      <c r="AO44" s="431"/>
      <c r="AP44" s="181"/>
      <c r="AQ44" s="460"/>
      <c r="AR44" s="460"/>
      <c r="AS44" s="460"/>
      <c r="AT44" s="181"/>
      <c r="AU44" s="433"/>
      <c r="AV44" s="433"/>
      <c r="AW44" s="433"/>
      <c r="AX44" s="181"/>
      <c r="AY44" s="153"/>
      <c r="AZ44" s="153"/>
      <c r="BA44" s="153"/>
      <c r="BB44" s="153"/>
      <c r="BC44" s="153"/>
      <c r="BD44" s="153"/>
      <c r="BE44" s="153"/>
      <c r="BG44" s="462" t="str">
        <f ca="1">Horarios!Q43</f>
        <v>Spain</v>
      </c>
      <c r="BH44" s="463">
        <f t="shared" ca="1" si="0"/>
        <v>1</v>
      </c>
      <c r="BI44" s="463">
        <f ca="1">COUNTIF(Pool!$C$130:$C$161,Fixture!BG44)-BJ44-BK44-BL44-BM44-BN44-BO44</f>
        <v>0</v>
      </c>
      <c r="BJ44" s="464">
        <f ca="1">COUNTIF(Pool!$C$182:$C$197,Fixture!BG44)-BK44-BL44-BM44-BN44-BO44</f>
        <v>0</v>
      </c>
      <c r="BK44" s="465">
        <f ca="1">COUNTIF(Pool!$C$210:$C$217,Fixture!BG44)-BL44-BM44-BN44-BO44</f>
        <v>0</v>
      </c>
      <c r="BL44" s="465">
        <f ca="1">COUNTIF(Pool!$C$226:$C$229,Fixture!BG44)-BM44-BN44-BO44</f>
        <v>0</v>
      </c>
      <c r="BM44" s="463">
        <f ca="1">COUNTIF(Pool!$C$252,Fixture!BG44)</f>
        <v>0</v>
      </c>
      <c r="BN44" s="463">
        <f ca="1">COUNTIF(Pool!$C$251,Fixture!BG44)</f>
        <v>0</v>
      </c>
      <c r="BO44" s="466">
        <f ca="1">COUNTIF(Pool!$C$250,Fixture!BG44)</f>
        <v>0</v>
      </c>
    </row>
    <row r="45" spans="1:67" ht="16" thickBot="1" x14ac:dyDescent="0.25">
      <c r="A45" s="181">
        <v>35</v>
      </c>
      <c r="B45" s="567"/>
      <c r="C45" s="444" t="str">
        <f ca="1">+MID(INDEX(WORLDCUP!$AA$4:$AA$147,MATCH(A45,WORLDCUP!$AH$4:$AH$147,0)),1,3)</f>
        <v>Net</v>
      </c>
      <c r="D45" s="445" t="str">
        <f>IF(ISBLANK(INDEX(WORLDCUP!$AC$4:$AC$147,MATCH(A45,WORLDCUP!$AH$4:$AH$147,0))),"",INDEX(WORLDCUP!$AC$4:$AC$147,MATCH(A45,WORLDCUP!$AH$4:$AH$147,0)))</f>
        <v/>
      </c>
      <c r="E45" s="445" t="str">
        <f>IF(ISBLANK(INDEX(WORLDCUP!$AD$4:$AD$147,MATCH(A45,WORLDCUP!$AH$4:$AH$147,0))),"",INDEX(WORLDCUP!$AD$4:$AD$147,MATCH(A45,WORLDCUP!$AH$4:$AH$147,0)))</f>
        <v/>
      </c>
      <c r="F45" s="446" t="str">
        <f ca="1">+MID(INDEX(WORLDCUP!$AF$4:$AF$147,MATCH(A45,WORLDCUP!$AH$4:$AH$147,0)),1,3)</f>
        <v>Swe</v>
      </c>
      <c r="G45" s="467">
        <v>2</v>
      </c>
      <c r="H45" s="468" t="str">
        <f ca="1">+MID(INDEX(WORLDCUP!$AL$6:$AL$97,MATCH(L45,WORLDCUP!$AI$6:$AI$97,0)),1,3)</f>
        <v>Jap</v>
      </c>
      <c r="I45" s="38">
        <f ca="1">+INDEX(WORLDCUP!$AM$6:$AM$97,MATCH(L45,WORLDCUP!$AI$6:$AI$97,0))</f>
        <v>0</v>
      </c>
      <c r="J45" s="39">
        <f ca="1">+INDEX(WORLDCUP!$AT$6:$AT$97,MATCH(L45,WORLDCUP!$AI$6:$AI$97,0))</f>
        <v>0</v>
      </c>
      <c r="K45" s="43" t="str">
        <f ca="1">+INDEX(WORLDCUP!$AR$6:$AR$97,MATCH(L45,WORLDCUP!$AI$6:$AI$97,0))&amp;"-"&amp;INDEX(WORLDCUP!$AS$6:$AS$97,MATCH(L45,WORLDCUP!$AI$6:$AI$97,0))</f>
        <v>0-0</v>
      </c>
      <c r="L45" s="181" t="s">
        <v>676</v>
      </c>
      <c r="M45" s="181">
        <v>45</v>
      </c>
      <c r="N45" s="568"/>
      <c r="O45" s="444" t="str">
        <f ca="1">+MID(INDEX(WORLDCUP!$AA$4:$AA$147,MATCH(M45,WORLDCUP!$AH$4:$AH$147,0)),1,3)</f>
        <v>Eng</v>
      </c>
      <c r="P45" s="445" t="str">
        <f>IF(ISBLANK(INDEX(WORLDCUP!$AC$4:$AC$147,MATCH(M45,WORLDCUP!$AH$4:$AH$147,0))),"",INDEX(WORLDCUP!$AC$4:$AC$147,MATCH(M45,WORLDCUP!$AH$4:$AH$147,0)))</f>
        <v/>
      </c>
      <c r="Q45" s="445" t="str">
        <f>IF(ISBLANK(INDEX(WORLDCUP!$AD$4:$AD$147,MATCH(M45,WORLDCUP!$AH$4:$AH$147,0))),"",INDEX(WORLDCUP!$AD$4:$AD$147,MATCH(M45,WORLDCUP!$AH$4:$AH$147,0)))</f>
        <v/>
      </c>
      <c r="R45" s="446" t="str">
        <f ca="1">+MID(INDEX(WORLDCUP!$AF$4:$AF$147,MATCH(M45,WORLDCUP!$AH$4:$AH$147,0)),1,3)</f>
        <v>Gha</v>
      </c>
      <c r="S45" s="467">
        <v>2</v>
      </c>
      <c r="T45" s="468" t="str">
        <f ca="1">+MID(INDEX(WORLDCUP!$AL$6:$AL$97,MATCH(X45,WORLDCUP!$AI$6:$AI$97,0)),1,3)</f>
        <v>Cro</v>
      </c>
      <c r="U45" s="38">
        <f ca="1">+INDEX(WORLDCUP!$AM$6:$AM$97,MATCH(X45,WORLDCUP!$AI$6:$AI$97,0))</f>
        <v>0</v>
      </c>
      <c r="V45" s="39">
        <f ca="1">+INDEX(WORLDCUP!$AT$6:$AT$97,MATCH(X45,WORLDCUP!$AI$6:$AI$97,0))</f>
        <v>0</v>
      </c>
      <c r="W45" s="43" t="str">
        <f ca="1">+INDEX(WORLDCUP!$AR$6:$AR$97,MATCH(X45,WORLDCUP!$AI$6:$AI$97,0))&amp;"-"&amp;INDEX(WORLDCUP!$AS$6:$AS$97,MATCH(X45,WORLDCUP!$AI$6:$AI$97,0))</f>
        <v>0-0</v>
      </c>
      <c r="X45" s="181" t="s">
        <v>694</v>
      </c>
      <c r="Y45" s="181">
        <v>85</v>
      </c>
      <c r="Z45" s="425" t="s">
        <v>659</v>
      </c>
      <c r="AA45" s="426" t="str">
        <f ca="1">+MID(INDEX(WORLDCUP!$AA$101:$AA$147,MATCH(Y45,WORLDCUP!$Z$101:$Z$147,0)),1,3)</f>
        <v>1B</v>
      </c>
      <c r="AB45" s="427" t="str">
        <f>+IF(ISBLANK(INDEX(WORLDCUP!$AC$101:$AC$147,MATCH(Y45,WORLDCUP!$Z$101:$Z$147,0))),"",INDEX(WORLDCUP!$AC$101:$AC$147,MATCH(Y45,WORLDCUP!$Z$101:$Z$147,0)))</f>
        <v/>
      </c>
      <c r="AC45" s="498" t="str">
        <f>+IF(ISBLANK(INDEX(WORLDCUP!$AB$101:$AB$147,MATCH(Y45,WORLDCUP!$Z$101:$Z$147,0))),"","( "&amp;INDEX(WORLDCUP!$AB$101:$AB$147,MATCH(Y45,WORLDCUP!$Z$101:$Z$147,0))&amp;" )")</f>
        <v/>
      </c>
      <c r="AD45" s="179"/>
      <c r="AE45" s="429"/>
      <c r="AF45" s="429"/>
      <c r="AG45" s="475"/>
      <c r="AH45" s="181"/>
      <c r="AI45" s="459"/>
      <c r="AJ45" s="459"/>
      <c r="AK45" s="459"/>
      <c r="AL45" s="415"/>
      <c r="AM45" s="431"/>
      <c r="AN45" s="431"/>
      <c r="AO45" s="431"/>
      <c r="AP45" s="181"/>
      <c r="AQ45" s="460"/>
      <c r="AR45" s="460"/>
      <c r="AS45" s="460"/>
      <c r="AT45" s="181"/>
      <c r="AU45" s="433"/>
      <c r="AV45" s="433"/>
      <c r="AW45" s="433"/>
      <c r="AX45" s="181"/>
      <c r="AY45" s="153"/>
      <c r="AZ45" s="153"/>
      <c r="BA45" s="153"/>
      <c r="BB45" s="153"/>
      <c r="BC45" s="153"/>
      <c r="BD45" s="153"/>
      <c r="BE45" s="153"/>
      <c r="BG45" s="462" t="str">
        <f ca="1">Horarios!Q44</f>
        <v>Sweden</v>
      </c>
      <c r="BH45" s="463">
        <f t="shared" ca="1" si="0"/>
        <v>1</v>
      </c>
      <c r="BI45" s="463">
        <f ca="1">COUNTIF(Pool!$C$130:$C$161,Fixture!BG45)-BJ45-BK45-BL45-BM45-BN45-BO45</f>
        <v>0</v>
      </c>
      <c r="BJ45" s="464">
        <f ca="1">COUNTIF(Pool!$C$182:$C$197,Fixture!BG45)-BK45-BL45-BM45-BN45-BO45</f>
        <v>0</v>
      </c>
      <c r="BK45" s="465">
        <f ca="1">COUNTIF(Pool!$C$210:$C$217,Fixture!BG45)-BL45-BM45-BN45-BO45</f>
        <v>0</v>
      </c>
      <c r="BL45" s="465">
        <f ca="1">COUNTIF(Pool!$C$226:$C$229,Fixture!BG45)-BM45-BN45-BO45</f>
        <v>0</v>
      </c>
      <c r="BM45" s="463">
        <f ca="1">COUNTIF(Pool!$C$252,Fixture!BG45)</f>
        <v>0</v>
      </c>
      <c r="BN45" s="463">
        <f ca="1">COUNTIF(Pool!$C$251,Fixture!BG45)</f>
        <v>0</v>
      </c>
      <c r="BO45" s="466">
        <f ca="1">COUNTIF(Pool!$C$250,Fixture!BG45)</f>
        <v>0</v>
      </c>
    </row>
    <row r="46" spans="1:67" ht="16" thickBot="1" x14ac:dyDescent="0.25">
      <c r="A46" s="181">
        <v>36</v>
      </c>
      <c r="B46" s="567"/>
      <c r="C46" s="444" t="str">
        <f ca="1">+MID(INDEX(WORLDCUP!$AA$4:$AA$147,MATCH(A46,WORLDCUP!$AH$4:$AH$147,0)),1,3)</f>
        <v>Tun</v>
      </c>
      <c r="D46" s="445" t="str">
        <f>IF(ISBLANK(INDEX(WORLDCUP!$AC$4:$AC$147,MATCH(A46,WORLDCUP!$AH$4:$AH$147,0))),"",INDEX(WORLDCUP!$AC$4:$AC$147,MATCH(A46,WORLDCUP!$AH$4:$AH$147,0)))</f>
        <v/>
      </c>
      <c r="E46" s="445" t="str">
        <f>IF(ISBLANK(INDEX(WORLDCUP!$AD$4:$AD$147,MATCH(A46,WORLDCUP!$AH$4:$AH$147,0))),"",INDEX(WORLDCUP!$AD$4:$AD$147,MATCH(A46,WORLDCUP!$AH$4:$AH$147,0)))</f>
        <v/>
      </c>
      <c r="F46" s="446" t="str">
        <f ca="1">+MID(INDEX(WORLDCUP!$AF$4:$AF$147,MATCH(A46,WORLDCUP!$AH$4:$AH$147,0)),1,3)</f>
        <v>Jap</v>
      </c>
      <c r="G46" s="467">
        <v>3</v>
      </c>
      <c r="H46" s="468" t="str">
        <f ca="1">+MID(INDEX(WORLDCUP!$AL$6:$AL$97,MATCH(L46,WORLDCUP!$AI$6:$AI$97,0)),1,3)</f>
        <v>Swe</v>
      </c>
      <c r="I46" s="38">
        <f ca="1">+INDEX(WORLDCUP!$AM$6:$AM$97,MATCH(L46,WORLDCUP!$AI$6:$AI$97,0))</f>
        <v>0</v>
      </c>
      <c r="J46" s="39">
        <f ca="1">+INDEX(WORLDCUP!$AT$6:$AT$97,MATCH(L46,WORLDCUP!$AI$6:$AI$97,0))</f>
        <v>0</v>
      </c>
      <c r="K46" s="43" t="str">
        <f ca="1">+INDEX(WORLDCUP!$AR$6:$AR$97,MATCH(L46,WORLDCUP!$AI$6:$AI$97,0))&amp;"-"&amp;INDEX(WORLDCUP!$AS$6:$AS$97,MATCH(L46,WORLDCUP!$AI$6:$AI$97,0))</f>
        <v>0-0</v>
      </c>
      <c r="L46" s="181" t="s">
        <v>95</v>
      </c>
      <c r="M46" s="181">
        <v>46</v>
      </c>
      <c r="N46" s="568"/>
      <c r="O46" s="444" t="str">
        <f ca="1">+MID(INDEX(WORLDCUP!$AA$4:$AA$147,MATCH(M46,WORLDCUP!$AH$4:$AH$147,0)),1,3)</f>
        <v>Pan</v>
      </c>
      <c r="P46" s="445" t="str">
        <f>IF(ISBLANK(INDEX(WORLDCUP!$AC$4:$AC$147,MATCH(M46,WORLDCUP!$AH$4:$AH$147,0))),"",INDEX(WORLDCUP!$AC$4:$AC$147,MATCH(M46,WORLDCUP!$AH$4:$AH$147,0)))</f>
        <v/>
      </c>
      <c r="Q46" s="445" t="str">
        <f>IF(ISBLANK(INDEX(WORLDCUP!$AD$4:$AD$147,MATCH(M46,WORLDCUP!$AH$4:$AH$147,0))),"",INDEX(WORLDCUP!$AD$4:$AD$147,MATCH(M46,WORLDCUP!$AH$4:$AH$147,0)))</f>
        <v/>
      </c>
      <c r="R46" s="446" t="str">
        <f ca="1">+MID(INDEX(WORLDCUP!$AF$4:$AF$147,MATCH(M46,WORLDCUP!$AH$4:$AH$147,0)),1,3)</f>
        <v>Cro</v>
      </c>
      <c r="S46" s="467">
        <v>3</v>
      </c>
      <c r="T46" s="468" t="str">
        <f ca="1">+MID(INDEX(WORLDCUP!$AL$6:$AL$97,MATCH(X46,WORLDCUP!$AI$6:$AI$97,0)),1,3)</f>
        <v>Gha</v>
      </c>
      <c r="U46" s="38">
        <f ca="1">+INDEX(WORLDCUP!$AM$6:$AM$97,MATCH(X46,WORLDCUP!$AI$6:$AI$97,0))</f>
        <v>0</v>
      </c>
      <c r="V46" s="39">
        <f ca="1">+INDEX(WORLDCUP!$AT$6:$AT$97,MATCH(X46,WORLDCUP!$AI$6:$AI$97,0))</f>
        <v>0</v>
      </c>
      <c r="W46" s="43" t="str">
        <f ca="1">+INDEX(WORLDCUP!$AR$6:$AR$97,MATCH(X46,WORLDCUP!$AI$6:$AI$97,0))&amp;"-"&amp;INDEX(WORLDCUP!$AS$6:$AS$97,MATCH(X46,WORLDCUP!$AI$6:$AI$97,0))</f>
        <v>0-0</v>
      </c>
      <c r="X46" s="181" t="s">
        <v>453</v>
      </c>
      <c r="Y46" s="181">
        <v>85</v>
      </c>
      <c r="Z46" s="425" t="s">
        <v>739</v>
      </c>
      <c r="AA46" s="426" t="str">
        <f ca="1">+MID(INDEX(WORLDCUP!$AF$101:$AF$147,MATCH(Y46,WORLDCUP!$Z$101:$Z$147,0)),1,IF(WORLDCUP!$H$113&lt;144,6,3))</f>
        <v>3EFGIJ</v>
      </c>
      <c r="AB46" s="453" t="str">
        <f>+IF(ISBLANK(INDEX(WORLDCUP!$AD$101:$AD$147,MATCH(Y46,WORLDCUP!$Z$101:$Z$147,0))),"",INDEX(WORLDCUP!$AD$101:$AD$147,MATCH(Y46,WORLDCUP!$Z$101:$Z$147,0)))</f>
        <v/>
      </c>
      <c r="AC46" s="454" t="str">
        <f>+IF(ISBLANK(INDEX(WORLDCUP!$AE$101:$AE$147,MATCH(Y46,WORLDCUP!$Z$101:$Z$147,0))),"","( "&amp;INDEX(WORLDCUP!$AE$101:$AE$147,MATCH(Y46,WORLDCUP!$Z$101:$Z$147,0))&amp;" )")</f>
        <v/>
      </c>
      <c r="AD46" s="455">
        <v>96</v>
      </c>
      <c r="AE46" s="456" t="str">
        <f>+MID(INDEX(WORLDCUP!$AA$101:$AA$147,MATCH(AD46,WORLDCUP!$Z$101:$Z$147,0)),1,3)</f>
        <v>W85</v>
      </c>
      <c r="AF46" s="457" t="str">
        <f>+IF(ISBLANK(INDEX(WORLDCUP!$AC$101:$AC$147,MATCH(AD46,WORLDCUP!$Z$101:$Z$147,0))),"",INDEX(WORLDCUP!$AC$101:$AC$147,MATCH(AD46,WORLDCUP!$Z$101:$Z$147,0)))</f>
        <v/>
      </c>
      <c r="AG46" s="501" t="str">
        <f>+IF(ISBLANK(INDEX(WORLDCUP!$AB$101:$AB$147,MATCH(AD46,WORLDCUP!$Z$101:$Z$147,0))),"","( "&amp;INDEX(WORLDCUP!$AB$101:$AB$147,MATCH(AD46,WORLDCUP!$Z$101:$Z$147,0))&amp;" )")</f>
        <v/>
      </c>
      <c r="AH46" s="181"/>
      <c r="AI46" s="459"/>
      <c r="AJ46" s="459"/>
      <c r="AK46" s="459"/>
      <c r="AL46" s="415"/>
      <c r="AM46" s="431"/>
      <c r="AN46" s="431"/>
      <c r="AO46" s="431"/>
      <c r="AP46" s="181"/>
      <c r="AQ46" s="460"/>
      <c r="AR46" s="460"/>
      <c r="AS46" s="460"/>
      <c r="AT46" s="181"/>
      <c r="AU46" s="433"/>
      <c r="AV46" s="433"/>
      <c r="AW46" s="433"/>
      <c r="AX46" s="181"/>
      <c r="AY46" s="153"/>
      <c r="AZ46" s="153"/>
      <c r="BA46" s="153"/>
      <c r="BB46" s="153"/>
      <c r="BC46" s="153"/>
      <c r="BD46" s="153"/>
      <c r="BE46" s="153"/>
      <c r="BG46" s="462" t="str">
        <f ca="1">Horarios!Q45</f>
        <v>Switzerland</v>
      </c>
      <c r="BH46" s="463">
        <f t="shared" ca="1" si="0"/>
        <v>1</v>
      </c>
      <c r="BI46" s="463">
        <f ca="1">COUNTIF(Pool!$C$130:$C$161,Fixture!BG46)-BJ46-BK46-BL46-BM46-BN46-BO46</f>
        <v>0</v>
      </c>
      <c r="BJ46" s="464">
        <f ca="1">COUNTIF(Pool!$C$182:$C$197,Fixture!BG46)-BK46-BL46-BM46-BN46-BO46</f>
        <v>0</v>
      </c>
      <c r="BK46" s="465">
        <f ca="1">COUNTIF(Pool!$C$210:$C$217,Fixture!BG46)-BL46-BM46-BN46-BO46</f>
        <v>0</v>
      </c>
      <c r="BL46" s="465">
        <f ca="1">COUNTIF(Pool!$C$226:$C$229,Fixture!BG46)-BM46-BN46-BO46</f>
        <v>0</v>
      </c>
      <c r="BM46" s="463">
        <f ca="1">COUNTIF(Pool!$C$252,Fixture!BG46)</f>
        <v>0</v>
      </c>
      <c r="BN46" s="463">
        <f ca="1">COUNTIF(Pool!$C$251,Fixture!BG46)</f>
        <v>0</v>
      </c>
      <c r="BO46" s="466">
        <f ca="1">COUNTIF(Pool!$C$250,Fixture!BG46)</f>
        <v>0</v>
      </c>
    </row>
    <row r="47" spans="1:67" x14ac:dyDescent="0.2">
      <c r="A47" s="181">
        <v>57</v>
      </c>
      <c r="B47" s="567"/>
      <c r="C47" s="444" t="str">
        <f ca="1">+MID(INDEX(WORLDCUP!$AA$4:$AA$147,MATCH(A47,WORLDCUP!$AH$4:$AH$147,0)),1,3)</f>
        <v>Jap</v>
      </c>
      <c r="D47" s="445" t="str">
        <f>IF(ISBLANK(INDEX(WORLDCUP!$AC$4:$AC$147,MATCH(A47,WORLDCUP!$AH$4:$AH$147,0))),"",INDEX(WORLDCUP!$AC$4:$AC$147,MATCH(A47,WORLDCUP!$AH$4:$AH$147,0)))</f>
        <v/>
      </c>
      <c r="E47" s="445" t="str">
        <f>IF(ISBLANK(INDEX(WORLDCUP!$AD$4:$AD$147,MATCH(A47,WORLDCUP!$AH$4:$AH$147,0))),"",INDEX(WORLDCUP!$AD$4:$AD$147,MATCH(A47,WORLDCUP!$AH$4:$AH$147,0)))</f>
        <v/>
      </c>
      <c r="F47" s="446" t="str">
        <f ca="1">+MID(INDEX(WORLDCUP!$AF$4:$AF$147,MATCH(A47,WORLDCUP!$AH$4:$AH$147,0)),1,3)</f>
        <v>Swe</v>
      </c>
      <c r="G47" s="467">
        <v>4</v>
      </c>
      <c r="H47" s="476" t="str">
        <f ca="1">+MID(INDEX(WORLDCUP!$AL$6:$AL$97,MATCH(L47,WORLDCUP!$AI$6:$AI$97,0)),1,3)</f>
        <v>Tun</v>
      </c>
      <c r="I47" s="477">
        <f ca="1">+INDEX(WORLDCUP!$AM$6:$AM$97,MATCH(L47,WORLDCUP!$AI$6:$AI$97,0))</f>
        <v>0</v>
      </c>
      <c r="J47" s="478">
        <f ca="1">+INDEX(WORLDCUP!$AT$6:$AT$97,MATCH(L47,WORLDCUP!$AI$6:$AI$97,0))</f>
        <v>0</v>
      </c>
      <c r="K47" s="479" t="str">
        <f ca="1">+INDEX(WORLDCUP!$AR$6:$AR$97,MATCH(L47,WORLDCUP!$AI$6:$AI$97,0))&amp;"-"&amp;INDEX(WORLDCUP!$AS$6:$AS$97,MATCH(L47,WORLDCUP!$AI$6:$AI$97,0))</f>
        <v>0-0</v>
      </c>
      <c r="L47" s="181" t="s">
        <v>677</v>
      </c>
      <c r="M47" s="181">
        <v>67</v>
      </c>
      <c r="N47" s="568"/>
      <c r="O47" s="444" t="str">
        <f ca="1">+MID(INDEX(WORLDCUP!$AA$4:$AA$147,MATCH(M47,WORLDCUP!$AH$4:$AH$147,0)),1,3)</f>
        <v>Pan</v>
      </c>
      <c r="P47" s="445" t="str">
        <f>IF(ISBLANK(INDEX(WORLDCUP!$AC$4:$AC$147,MATCH(M47,WORLDCUP!$AH$4:$AH$147,0))),"",INDEX(WORLDCUP!$AC$4:$AC$147,MATCH(M47,WORLDCUP!$AH$4:$AH$147,0)))</f>
        <v/>
      </c>
      <c r="Q47" s="445" t="str">
        <f>IF(ISBLANK(INDEX(WORLDCUP!$AD$4:$AD$147,MATCH(M47,WORLDCUP!$AH$4:$AH$147,0))),"",INDEX(WORLDCUP!$AD$4:$AD$147,MATCH(M47,WORLDCUP!$AH$4:$AH$147,0)))</f>
        <v/>
      </c>
      <c r="R47" s="446" t="str">
        <f ca="1">+MID(INDEX(WORLDCUP!$AF$4:$AF$147,MATCH(M47,WORLDCUP!$AH$4:$AH$147,0)),1,3)</f>
        <v>Eng</v>
      </c>
      <c r="S47" s="467">
        <v>4</v>
      </c>
      <c r="T47" s="476" t="str">
        <f ca="1">+MID(INDEX(WORLDCUP!$AL$6:$AL$97,MATCH(X47,WORLDCUP!$AI$6:$AI$97,0)),1,3)</f>
        <v>Pan</v>
      </c>
      <c r="U47" s="477">
        <f ca="1">+INDEX(WORLDCUP!$AM$6:$AM$97,MATCH(X47,WORLDCUP!$AI$6:$AI$97,0))</f>
        <v>0</v>
      </c>
      <c r="V47" s="478">
        <f ca="1">+INDEX(WORLDCUP!$AT$6:$AT$97,MATCH(X47,WORLDCUP!$AI$6:$AI$97,0))</f>
        <v>0</v>
      </c>
      <c r="W47" s="479" t="str">
        <f ca="1">+INDEX(WORLDCUP!$AR$6:$AR$97,MATCH(X47,WORLDCUP!$AI$6:$AI$97,0))&amp;"-"&amp;INDEX(WORLDCUP!$AS$6:$AS$97,MATCH(X47,WORLDCUP!$AI$6:$AI$97,0))</f>
        <v>0-0</v>
      </c>
      <c r="X47" s="181" t="s">
        <v>695</v>
      </c>
      <c r="Y47" s="181"/>
      <c r="Z47" s="425"/>
      <c r="AA47" s="469"/>
      <c r="AB47" s="469"/>
      <c r="AC47" s="470"/>
      <c r="AD47" s="181">
        <v>96</v>
      </c>
      <c r="AE47" s="456" t="str">
        <f>+MID(INDEX(WORLDCUP!$AF$101:$AF$147,MATCH(AD47,WORLDCUP!$Z$101:$Z$147,0)),1,3)</f>
        <v>W87</v>
      </c>
      <c r="AF47" s="457" t="str">
        <f>+IF(ISBLANK(INDEX(WORLDCUP!$AD$101:$AD$147,MATCH(AD47,WORLDCUP!$Z$101:$Z$147,0))),"",INDEX(WORLDCUP!$AD$101:$AD$147,MATCH(AD47,WORLDCUP!$Z$101:$Z$147,0)))</f>
        <v/>
      </c>
      <c r="AG47" s="474" t="str">
        <f>+IF(ISBLANK(INDEX(WORLDCUP!$AE$101:$AE$147,MATCH(AD47,WORLDCUP!$Z$101:$Z$147,0))),"","( "&amp;INDEX(WORLDCUP!$AE$101:$AE$147,MATCH(AD47,WORLDCUP!$Z$101:$Z$147,0))&amp;" )")</f>
        <v/>
      </c>
      <c r="AH47" s="181"/>
      <c r="AI47" s="459"/>
      <c r="AJ47" s="459"/>
      <c r="AK47" s="459"/>
      <c r="AL47" s="415"/>
      <c r="AM47" s="431"/>
      <c r="AN47" s="431"/>
      <c r="AO47" s="431"/>
      <c r="AP47" s="181"/>
      <c r="AQ47" s="460"/>
      <c r="AR47" s="460"/>
      <c r="AS47" s="460"/>
      <c r="AT47" s="181"/>
      <c r="AU47" s="433"/>
      <c r="AV47" s="433"/>
      <c r="AW47" s="433"/>
      <c r="AX47" s="181"/>
      <c r="AY47" s="153"/>
      <c r="AZ47" s="153"/>
      <c r="BA47" s="153"/>
      <c r="BB47" s="153"/>
      <c r="BC47" s="153"/>
      <c r="BD47" s="153"/>
      <c r="BE47" s="153"/>
      <c r="BG47" s="462" t="str">
        <f ca="1">Horarios!Q46</f>
        <v>Tunisia</v>
      </c>
      <c r="BH47" s="463">
        <f t="shared" ca="1" si="0"/>
        <v>1</v>
      </c>
      <c r="BI47" s="463">
        <f ca="1">COUNTIF(Pool!$C$130:$C$161,Fixture!BG47)-BJ47-BK47-BL47-BM47-BN47-BO47</f>
        <v>0</v>
      </c>
      <c r="BJ47" s="464">
        <f ca="1">COUNTIF(Pool!$C$182:$C$197,Fixture!BG47)-BK47-BL47-BM47-BN47-BO47</f>
        <v>0</v>
      </c>
      <c r="BK47" s="465">
        <f ca="1">COUNTIF(Pool!$C$210:$C$217,Fixture!BG47)-BL47-BM47-BN47-BO47</f>
        <v>0</v>
      </c>
      <c r="BL47" s="465">
        <f ca="1">COUNTIF(Pool!$C$226:$C$229,Fixture!BG47)-BM47-BN47-BO47</f>
        <v>0</v>
      </c>
      <c r="BM47" s="463">
        <f ca="1">COUNTIF(Pool!$C$252,Fixture!BG47)</f>
        <v>0</v>
      </c>
      <c r="BN47" s="463">
        <f ca="1">COUNTIF(Pool!$C$251,Fixture!BG47)</f>
        <v>0</v>
      </c>
      <c r="BO47" s="466">
        <f ca="1">COUNTIF(Pool!$C$250,Fixture!BG47)</f>
        <v>0</v>
      </c>
    </row>
    <row r="48" spans="1:67" ht="16" thickBot="1" x14ac:dyDescent="0.25">
      <c r="A48" s="181">
        <v>58</v>
      </c>
      <c r="B48" s="569"/>
      <c r="C48" s="487" t="str">
        <f ca="1">+MID(INDEX(WORLDCUP!$AA$4:$AA$147,MATCH(A48,WORLDCUP!$AH$4:$AH$147,0)),1,3)</f>
        <v>Tun</v>
      </c>
      <c r="D48" s="488" t="str">
        <f>IF(ISBLANK(INDEX(WORLDCUP!$AC$4:$AC$147,MATCH(A48,WORLDCUP!$AH$4:$AH$147,0))),"",INDEX(WORLDCUP!$AC$4:$AC$147,MATCH(A48,WORLDCUP!$AH$4:$AH$147,0)))</f>
        <v/>
      </c>
      <c r="E48" s="488" t="str">
        <f>IF(ISBLANK(INDEX(WORLDCUP!$AD$4:$AD$147,MATCH(A48,WORLDCUP!$AH$4:$AH$147,0))),"",INDEX(WORLDCUP!$AD$4:$AD$147,MATCH(A48,WORLDCUP!$AH$4:$AH$147,0)))</f>
        <v/>
      </c>
      <c r="F48" s="489" t="str">
        <f ca="1">+MID(INDEX(WORLDCUP!$AF$4:$AF$147,MATCH(A48,WORLDCUP!$AH$4:$AH$147,0)),1,3)</f>
        <v>Net</v>
      </c>
      <c r="G48" s="490"/>
      <c r="H48" s="490"/>
      <c r="I48" s="491"/>
      <c r="J48" s="491"/>
      <c r="K48" s="492"/>
      <c r="L48" s="181"/>
      <c r="M48" s="181">
        <v>68</v>
      </c>
      <c r="N48" s="570"/>
      <c r="O48" s="487" t="str">
        <f ca="1">+MID(INDEX(WORLDCUP!$AA$4:$AA$147,MATCH(M48,WORLDCUP!$AH$4:$AH$147,0)),1,3)</f>
        <v>Cro</v>
      </c>
      <c r="P48" s="488" t="str">
        <f>IF(ISBLANK(INDEX(WORLDCUP!$AC$4:$AC$147,MATCH(M48,WORLDCUP!$AH$4:$AH$147,0))),"",INDEX(WORLDCUP!$AC$4:$AC$147,MATCH(M48,WORLDCUP!$AH$4:$AH$147,0)))</f>
        <v/>
      </c>
      <c r="Q48" s="488" t="str">
        <f>IF(ISBLANK(INDEX(WORLDCUP!$AD$4:$AD$147,MATCH(M48,WORLDCUP!$AH$4:$AH$147,0))),"",INDEX(WORLDCUP!$AD$4:$AD$147,MATCH(M48,WORLDCUP!$AH$4:$AH$147,0)))</f>
        <v/>
      </c>
      <c r="R48" s="489" t="str">
        <f ca="1">+MID(INDEX(WORLDCUP!$AF$4:$AF$147,MATCH(M48,WORLDCUP!$AH$4:$AH$147,0)),1,3)</f>
        <v>Gha</v>
      </c>
      <c r="S48" s="490"/>
      <c r="T48" s="490"/>
      <c r="U48" s="491"/>
      <c r="V48" s="491"/>
      <c r="W48" s="492"/>
      <c r="X48" s="181"/>
      <c r="Y48" s="181">
        <v>87</v>
      </c>
      <c r="Z48" s="425" t="s">
        <v>690</v>
      </c>
      <c r="AA48" s="426" t="str">
        <f ca="1">+MID(INDEX(WORLDCUP!$AA$101:$AA$147,MATCH(Y48,WORLDCUP!$Z$101:$Z$147,0)),1,3)</f>
        <v>1K</v>
      </c>
      <c r="AB48" s="472" t="str">
        <f>+IF(ISBLANK(INDEX(WORLDCUP!$AC$101:$AC$147,MATCH(Y48,WORLDCUP!$Z$101:$Z$147,0))),"",INDEX(WORLDCUP!$AC$101:$AC$147,MATCH(Y48,WORLDCUP!$Z$101:$Z$147,0)))</f>
        <v/>
      </c>
      <c r="AC48" s="506" t="str">
        <f>+IF(ISBLANK(INDEX(WORLDCUP!$AB$101:$AB$147,MATCH(Y48,WORLDCUP!$Z$101:$Z$147,0))),"","( "&amp;INDEX(WORLDCUP!$AB$101:$AB$147,MATCH(Y48,WORLDCUP!$Z$101:$Z$147,0))&amp;" )")</f>
        <v/>
      </c>
      <c r="AD48" s="181"/>
      <c r="AE48" s="429"/>
      <c r="AF48" s="429"/>
      <c r="AG48" s="429"/>
      <c r="AH48" s="181"/>
      <c r="AI48" s="459"/>
      <c r="AJ48" s="459"/>
      <c r="AK48" s="459"/>
      <c r="AL48" s="415"/>
      <c r="AM48" s="431"/>
      <c r="AN48" s="431"/>
      <c r="AO48" s="431"/>
      <c r="AP48" s="181"/>
      <c r="AQ48" s="460"/>
      <c r="AR48" s="460"/>
      <c r="AS48" s="460"/>
      <c r="AT48" s="181"/>
      <c r="AU48" s="433"/>
      <c r="AV48" s="433"/>
      <c r="AW48" s="433"/>
      <c r="AX48" s="181"/>
      <c r="AY48" s="153"/>
      <c r="AZ48" s="153"/>
      <c r="BA48" s="153"/>
      <c r="BB48" s="153"/>
      <c r="BC48" s="153"/>
      <c r="BD48" s="153"/>
      <c r="BE48" s="153"/>
      <c r="BG48" s="462" t="str">
        <f ca="1">Horarios!Q47</f>
        <v>Turkey</v>
      </c>
      <c r="BH48" s="463">
        <f t="shared" ca="1" si="0"/>
        <v>1</v>
      </c>
      <c r="BI48" s="463">
        <f ca="1">COUNTIF(Pool!$C$130:$C$161,Fixture!BG48)-BJ48-BK48-BL48-BM48-BN48-BO48</f>
        <v>0</v>
      </c>
      <c r="BJ48" s="464">
        <f ca="1">COUNTIF(Pool!$C$182:$C$197,Fixture!BG48)-BK48-BL48-BM48-BN48-BO48</f>
        <v>0</v>
      </c>
      <c r="BK48" s="465">
        <f ca="1">COUNTIF(Pool!$C$210:$C$217,Fixture!BG48)-BL48-BM48-BN48-BO48</f>
        <v>0</v>
      </c>
      <c r="BL48" s="465">
        <f ca="1">COUNTIF(Pool!$C$226:$C$229,Fixture!BG48)-BM48-BN48-BO48</f>
        <v>0</v>
      </c>
      <c r="BM48" s="463">
        <f ca="1">COUNTIF(Pool!$C$252,Fixture!BG48)</f>
        <v>0</v>
      </c>
      <c r="BN48" s="463">
        <f ca="1">COUNTIF(Pool!$C$251,Fixture!BG48)</f>
        <v>0</v>
      </c>
      <c r="BO48" s="466">
        <f ca="1">COUNTIF(Pool!$C$250,Fixture!BG48)</f>
        <v>0</v>
      </c>
    </row>
    <row r="49" spans="1:67" x14ac:dyDescent="0.2">
      <c r="A49" s="181"/>
      <c r="B49" s="151"/>
      <c r="C49" s="153"/>
      <c r="D49" s="153"/>
      <c r="E49" s="153"/>
      <c r="F49" s="153"/>
      <c r="G49" s="153"/>
      <c r="H49" s="153"/>
      <c r="I49" s="153"/>
      <c r="J49" s="153"/>
      <c r="K49" s="153"/>
      <c r="L49" s="153"/>
      <c r="M49" s="181"/>
      <c r="N49" s="151"/>
      <c r="O49" s="153"/>
      <c r="P49" s="153"/>
      <c r="Q49" s="153"/>
      <c r="R49" s="153"/>
      <c r="S49" s="153"/>
      <c r="T49" s="153"/>
      <c r="U49" s="153"/>
      <c r="V49" s="153"/>
      <c r="W49" s="153"/>
      <c r="X49" s="181"/>
      <c r="Y49" s="181">
        <v>87</v>
      </c>
      <c r="Z49" s="425" t="s">
        <v>740</v>
      </c>
      <c r="AA49" s="480" t="str">
        <f ca="1">+MID(INDEX(WORLDCUP!$AF$101:$AF$147,MATCH(Y49,WORLDCUP!$Z$101:$Z$147,0)),1,IF(WORLDCUP!$H$113&lt;144,6,3))</f>
        <v>3DEIJL</v>
      </c>
      <c r="AB49" s="481" t="str">
        <f>+IF(ISBLANK(INDEX(WORLDCUP!$AD$101:$AD$147,MATCH(Y49,WORLDCUP!$Z$101:$Z$147,0))),"",INDEX(WORLDCUP!$AD$101:$AD$147,MATCH(Y49,WORLDCUP!$Z$101:$Z$147,0)))</f>
        <v/>
      </c>
      <c r="AC49" s="507" t="str">
        <f>+IF(ISBLANK(INDEX(WORLDCUP!$AE$101:$AE$147,MATCH(Y49,WORLDCUP!$Z$101:$Z$147,0))),"","( "&amp;INDEX(WORLDCUP!$AE$101:$AE$147,MATCH(Y49,WORLDCUP!$Z$101:$Z$147,0))&amp;" )")</f>
        <v/>
      </c>
      <c r="AD49" s="181"/>
      <c r="AE49" s="429"/>
      <c r="AF49" s="429"/>
      <c r="AG49" s="429"/>
      <c r="AH49" s="181"/>
      <c r="AI49" s="459"/>
      <c r="AJ49" s="459"/>
      <c r="AK49" s="459"/>
      <c r="AL49" s="415"/>
      <c r="AM49" s="431"/>
      <c r="AN49" s="431"/>
      <c r="AO49" s="431"/>
      <c r="AP49" s="181"/>
      <c r="AQ49" s="460"/>
      <c r="AR49" s="460"/>
      <c r="AS49" s="460"/>
      <c r="AT49" s="181"/>
      <c r="AU49" s="433"/>
      <c r="AV49" s="433"/>
      <c r="AW49" s="433"/>
      <c r="AX49" s="181"/>
      <c r="AY49" s="153"/>
      <c r="AZ49" s="153"/>
      <c r="BA49" s="153"/>
      <c r="BB49" s="153"/>
      <c r="BC49" s="153"/>
      <c r="BD49" s="153"/>
      <c r="BE49" s="153"/>
      <c r="BG49" s="462" t="str">
        <f ca="1">Horarios!Q48</f>
        <v>United States</v>
      </c>
      <c r="BH49" s="463">
        <f t="shared" ca="1" si="0"/>
        <v>1</v>
      </c>
      <c r="BI49" s="463">
        <f ca="1">COUNTIF(Pool!$C$130:$C$161,Fixture!BG49)-BJ49-BK49-BL49-BM49-BN49-BO49</f>
        <v>0</v>
      </c>
      <c r="BJ49" s="464">
        <f ca="1">COUNTIF(Pool!$C$182:$C$197,Fixture!BG49)-BK49-BL49-BM49-BN49-BO49</f>
        <v>0</v>
      </c>
      <c r="BK49" s="465">
        <f ca="1">COUNTIF(Pool!$C$210:$C$217,Fixture!BG49)-BL49-BM49-BN49-BO49</f>
        <v>0</v>
      </c>
      <c r="BL49" s="465">
        <f ca="1">COUNTIF(Pool!$C$226:$C$229,Fixture!BG49)-BM49-BN49-BO49</f>
        <v>0</v>
      </c>
      <c r="BM49" s="463">
        <f ca="1">COUNTIF(Pool!$C$252,Fixture!BG49)</f>
        <v>0</v>
      </c>
      <c r="BN49" s="463">
        <f ca="1">COUNTIF(Pool!$C$251,Fixture!BG49)</f>
        <v>0</v>
      </c>
      <c r="BO49" s="466">
        <f ca="1">COUNTIF(Pool!$C$250,Fixture!BG49)</f>
        <v>0</v>
      </c>
    </row>
    <row r="50" spans="1:67" ht="15" customHeight="1" x14ac:dyDescent="0.2">
      <c r="A50" s="181"/>
      <c r="B50" s="151"/>
      <c r="C50" s="153"/>
      <c r="D50" s="153"/>
      <c r="E50" s="153"/>
      <c r="F50" s="153"/>
      <c r="G50" s="153"/>
      <c r="H50" s="153"/>
      <c r="I50" s="153"/>
      <c r="J50" s="153"/>
      <c r="K50" s="153"/>
      <c r="L50" s="153"/>
      <c r="M50" s="181"/>
      <c r="N50" s="151"/>
      <c r="O50" s="153"/>
      <c r="P50" s="153"/>
      <c r="Q50" s="153"/>
      <c r="R50" s="153"/>
      <c r="S50" s="153"/>
      <c r="T50" s="153"/>
      <c r="U50" s="153"/>
      <c r="V50" s="153"/>
      <c r="W50" s="153"/>
      <c r="X50" s="153"/>
      <c r="Y50" s="179"/>
      <c r="Z50" s="179"/>
      <c r="AA50" s="571"/>
      <c r="AB50" s="571"/>
      <c r="AC50" s="571"/>
      <c r="AD50" s="181"/>
      <c r="AE50" s="572"/>
      <c r="AF50" s="572"/>
      <c r="AG50" s="572"/>
      <c r="AH50" s="181"/>
      <c r="AI50" s="459"/>
      <c r="AJ50" s="459"/>
      <c r="AK50" s="459"/>
      <c r="AL50" s="415"/>
      <c r="AM50" s="431"/>
      <c r="AN50" s="431"/>
      <c r="AO50" s="431"/>
      <c r="AP50" s="181"/>
      <c r="AQ50" s="432"/>
      <c r="AR50" s="432"/>
      <c r="AS50" s="432"/>
      <c r="AT50" s="181"/>
      <c r="AU50" s="573"/>
      <c r="AV50" s="573"/>
      <c r="AW50" s="573"/>
      <c r="AX50" s="181"/>
      <c r="AY50" s="153"/>
      <c r="AZ50" s="153"/>
      <c r="BA50" s="153"/>
      <c r="BB50" s="153"/>
      <c r="BC50" s="153"/>
      <c r="BD50" s="153"/>
      <c r="BE50" s="153"/>
      <c r="BG50" s="462" t="str">
        <f ca="1">Horarios!Q49</f>
        <v>Uruguay</v>
      </c>
      <c r="BH50" s="463">
        <f t="shared" ca="1" si="0"/>
        <v>1</v>
      </c>
      <c r="BI50" s="463">
        <f ca="1">COUNTIF(Pool!$C$130:$C$161,Fixture!BG50)-BJ50-BK50-BL50-BM50-BN50-BO50</f>
        <v>0</v>
      </c>
      <c r="BJ50" s="464">
        <f ca="1">COUNTIF(Pool!$C$182:$C$197,Fixture!BG50)-BK50-BL50-BM50-BN50-BO50</f>
        <v>0</v>
      </c>
      <c r="BK50" s="465">
        <f ca="1">COUNTIF(Pool!$C$210:$C$217,Fixture!BG50)-BL50-BM50-BN50-BO50</f>
        <v>0</v>
      </c>
      <c r="BL50" s="465">
        <f ca="1">COUNTIF(Pool!$C$226:$C$229,Fixture!BG50)-BM50-BN50-BO50</f>
        <v>0</v>
      </c>
      <c r="BM50" s="463">
        <f ca="1">COUNTIF(Pool!$C$252,Fixture!BG50)</f>
        <v>0</v>
      </c>
      <c r="BN50" s="463">
        <f ca="1">COUNTIF(Pool!$C$251,Fixture!BG50)</f>
        <v>0</v>
      </c>
      <c r="BO50" s="466">
        <f ca="1">COUNTIF(Pool!$C$250,Fixture!BG50)</f>
        <v>0</v>
      </c>
    </row>
    <row r="51" spans="1:67" x14ac:dyDescent="0.2">
      <c r="A51" s="181"/>
      <c r="B51" s="151"/>
      <c r="C51" s="153"/>
      <c r="D51" s="153"/>
      <c r="E51" s="153"/>
      <c r="F51" s="153"/>
      <c r="G51" s="153"/>
      <c r="H51" s="153"/>
      <c r="I51" s="153"/>
      <c r="J51" s="153"/>
      <c r="K51" s="153"/>
      <c r="L51" s="153"/>
      <c r="M51" s="181"/>
      <c r="N51" s="151"/>
      <c r="O51" s="153"/>
      <c r="P51" s="153"/>
      <c r="Q51" s="153"/>
      <c r="R51" s="153"/>
      <c r="S51" s="153"/>
      <c r="T51" s="153"/>
      <c r="U51" s="153"/>
      <c r="V51" s="153"/>
      <c r="W51" s="153"/>
      <c r="X51" s="153"/>
      <c r="Y51" s="151"/>
      <c r="Z51" s="151"/>
      <c r="AA51" s="153"/>
      <c r="AB51" s="153"/>
      <c r="AC51" s="153"/>
      <c r="AD51" s="151"/>
      <c r="AE51" s="153"/>
      <c r="AF51" s="153"/>
      <c r="AG51" s="153"/>
      <c r="AH51" s="151"/>
      <c r="AI51" s="153"/>
      <c r="AJ51" s="153"/>
      <c r="AK51" s="153"/>
      <c r="AL51" s="151"/>
      <c r="AM51" s="153"/>
      <c r="AN51" s="153"/>
      <c r="AO51" s="153"/>
      <c r="AP51" s="151"/>
      <c r="AQ51" s="153"/>
      <c r="AR51" s="153"/>
      <c r="AS51" s="153"/>
      <c r="AT51" s="151"/>
      <c r="AU51" s="153"/>
      <c r="AV51" s="153"/>
      <c r="AW51" s="153"/>
      <c r="AX51" s="153"/>
      <c r="AY51" s="153"/>
      <c r="AZ51" s="153"/>
      <c r="BA51" s="153"/>
      <c r="BB51" s="153"/>
      <c r="BC51" s="153"/>
      <c r="BD51" s="153"/>
      <c r="BE51" s="153"/>
      <c r="BG51" s="574" t="str">
        <f ca="1">Horarios!Q50</f>
        <v>Uzbekistan</v>
      </c>
      <c r="BH51" s="575">
        <f t="shared" ca="1" si="0"/>
        <v>1</v>
      </c>
      <c r="BI51" s="575">
        <f ca="1">COUNTIF(Pool!$C$130:$C$161,Fixture!BG51)-BJ51-BK51-BL51-BM51-BN51-BO51</f>
        <v>0</v>
      </c>
      <c r="BJ51" s="576">
        <f ca="1">COUNTIF(Pool!$C$182:$C$197,Fixture!BG51)-BK51-BL51-BM51-BN51-BO51</f>
        <v>0</v>
      </c>
      <c r="BK51" s="577">
        <f ca="1">COUNTIF(Pool!$C$210:$C$217,Fixture!BG51)-BL51-BM51-BN51-BO51</f>
        <v>0</v>
      </c>
      <c r="BL51" s="577">
        <f ca="1">COUNTIF(Pool!$C$226:$C$229,Fixture!BG51)-BM51-BN51-BO51</f>
        <v>0</v>
      </c>
      <c r="BM51" s="575">
        <f ca="1">COUNTIF(Pool!$C$252,Fixture!BG51)</f>
        <v>0</v>
      </c>
      <c r="BN51" s="575">
        <f ca="1">COUNTIF(Pool!$C$251,Fixture!BG51)</f>
        <v>0</v>
      </c>
      <c r="BO51" s="578">
        <f ca="1">COUNTIF(Pool!$C$250,Fixture!BG51)</f>
        <v>0</v>
      </c>
    </row>
    <row r="52" spans="1:67" x14ac:dyDescent="0.2">
      <c r="A52" s="181"/>
      <c r="B52" s="151"/>
      <c r="C52" s="153"/>
      <c r="D52" s="153"/>
      <c r="E52" s="153"/>
      <c r="F52" s="153"/>
      <c r="G52" s="153"/>
      <c r="H52" s="153"/>
      <c r="I52" s="153"/>
      <c r="J52" s="153"/>
      <c r="K52" s="153"/>
      <c r="L52" s="153"/>
      <c r="M52" s="181"/>
      <c r="N52" s="151"/>
      <c r="O52" s="153"/>
      <c r="P52" s="153"/>
      <c r="Q52" s="153"/>
      <c r="R52" s="153"/>
      <c r="S52" s="153"/>
      <c r="T52" s="153"/>
      <c r="U52" s="153"/>
      <c r="V52" s="153"/>
      <c r="W52" s="153"/>
      <c r="X52" s="153"/>
      <c r="Y52" s="151"/>
      <c r="Z52" s="151"/>
      <c r="AA52" s="153"/>
      <c r="AB52" s="153"/>
      <c r="AC52" s="153"/>
      <c r="AD52" s="151"/>
      <c r="AE52" s="153"/>
      <c r="AF52" s="153"/>
      <c r="AG52" s="153"/>
      <c r="AH52" s="151"/>
      <c r="AI52" s="153"/>
      <c r="AJ52" s="153"/>
      <c r="AK52" s="153"/>
      <c r="AL52" s="151"/>
      <c r="AM52" s="153"/>
      <c r="AN52" s="153"/>
      <c r="AO52" s="153"/>
      <c r="AP52" s="151"/>
      <c r="AQ52" s="153"/>
      <c r="AR52" s="153"/>
      <c r="AS52" s="153"/>
      <c r="AT52" s="151"/>
      <c r="AU52" s="153"/>
      <c r="AV52" s="153"/>
      <c r="AW52" s="153"/>
      <c r="AX52" s="153"/>
      <c r="AY52" s="153"/>
      <c r="AZ52" s="153"/>
      <c r="BA52" s="153"/>
      <c r="BB52" s="153"/>
      <c r="BC52" s="153"/>
      <c r="BD52" s="153"/>
      <c r="BE52" s="153"/>
    </row>
    <row r="53" spans="1:67" x14ac:dyDescent="0.2">
      <c r="W53" s="9"/>
      <c r="X53" s="3"/>
    </row>
    <row r="54" spans="1:67" x14ac:dyDescent="0.2">
      <c r="W54" s="9"/>
      <c r="X54" s="3"/>
      <c r="BB54" s="2"/>
    </row>
    <row r="55" spans="1:67" x14ac:dyDescent="0.2">
      <c r="W55" s="9"/>
      <c r="X55" s="3"/>
      <c r="BB55" s="2"/>
    </row>
    <row r="56" spans="1:67" x14ac:dyDescent="0.2">
      <c r="W56" s="9"/>
      <c r="X56" s="3"/>
      <c r="BB56" s="2"/>
    </row>
    <row r="57" spans="1:67" x14ac:dyDescent="0.2">
      <c r="W57" s="9"/>
      <c r="X57" s="3"/>
      <c r="BB57" s="2"/>
    </row>
    <row r="58" spans="1:67" x14ac:dyDescent="0.2">
      <c r="W58" s="9"/>
      <c r="X58" s="3"/>
      <c r="BB58" s="2"/>
    </row>
    <row r="59" spans="1:67" x14ac:dyDescent="0.2">
      <c r="W59" s="9"/>
      <c r="X59" s="3"/>
      <c r="BB59" s="2"/>
    </row>
    <row r="60" spans="1:67" x14ac:dyDescent="0.2">
      <c r="W60" s="9"/>
      <c r="X60" s="3"/>
      <c r="BB60" s="2"/>
    </row>
    <row r="61" spans="1:67" x14ac:dyDescent="0.2">
      <c r="W61" s="9"/>
      <c r="X61" s="3"/>
      <c r="BB61" s="2"/>
    </row>
    <row r="62" spans="1:67" x14ac:dyDescent="0.2">
      <c r="W62" s="9"/>
      <c r="X62" s="3"/>
      <c r="BB62" s="2"/>
    </row>
    <row r="63" spans="1:67" x14ac:dyDescent="0.2">
      <c r="W63" s="9"/>
      <c r="X63" s="3"/>
      <c r="BB63" s="2"/>
    </row>
    <row r="64" spans="1:67" x14ac:dyDescent="0.2">
      <c r="W64" s="9"/>
      <c r="X64" s="3"/>
      <c r="BB64" s="2"/>
    </row>
    <row r="65" spans="23:54" x14ac:dyDescent="0.2">
      <c r="W65" s="9"/>
      <c r="X65" s="3"/>
      <c r="BB65" s="2"/>
    </row>
    <row r="66" spans="23:54" x14ac:dyDescent="0.2">
      <c r="W66" s="9"/>
      <c r="X66" s="3"/>
      <c r="BB66" s="2"/>
    </row>
    <row r="67" spans="23:54" x14ac:dyDescent="0.2">
      <c r="W67" s="9"/>
      <c r="X67" s="3"/>
      <c r="BB67" s="2"/>
    </row>
    <row r="68" spans="23:54" x14ac:dyDescent="0.2">
      <c r="W68" s="9"/>
      <c r="X68" s="3"/>
      <c r="BB68" s="2"/>
    </row>
    <row r="69" spans="23:54" x14ac:dyDescent="0.2">
      <c r="W69" s="9"/>
      <c r="X69" s="3"/>
      <c r="BB69" s="2"/>
    </row>
    <row r="70" spans="23:54" x14ac:dyDescent="0.2">
      <c r="W70" s="9"/>
      <c r="X70" s="3"/>
      <c r="BB70" s="2"/>
    </row>
    <row r="71" spans="23:54" x14ac:dyDescent="0.2">
      <c r="W71" s="9"/>
      <c r="X71" s="3"/>
      <c r="BB71" s="2"/>
    </row>
    <row r="72" spans="23:54" x14ac:dyDescent="0.2">
      <c r="W72" s="9"/>
      <c r="X72" s="3"/>
      <c r="BB72" s="2"/>
    </row>
    <row r="73" spans="23:54" x14ac:dyDescent="0.2">
      <c r="W73" s="9"/>
      <c r="X73" s="3"/>
      <c r="BB73" s="2"/>
    </row>
    <row r="74" spans="23:54" x14ac:dyDescent="0.2">
      <c r="W74" s="9"/>
      <c r="X74" s="3"/>
      <c r="BB74" s="2"/>
    </row>
    <row r="75" spans="23:54" x14ac:dyDescent="0.2">
      <c r="W75" s="9"/>
      <c r="X75" s="3"/>
      <c r="BB75" s="2"/>
    </row>
    <row r="76" spans="23:54" x14ac:dyDescent="0.2">
      <c r="W76" s="9"/>
      <c r="X76" s="3"/>
      <c r="BB76" s="2"/>
    </row>
    <row r="77" spans="23:54" x14ac:dyDescent="0.2">
      <c r="W77" s="9"/>
      <c r="X77" s="3"/>
      <c r="BB77" s="2"/>
    </row>
    <row r="78" spans="23:54" x14ac:dyDescent="0.2">
      <c r="W78" s="9"/>
      <c r="X78" s="3"/>
      <c r="BB78" s="2"/>
    </row>
    <row r="79" spans="23:54" x14ac:dyDescent="0.2">
      <c r="W79" s="9"/>
      <c r="X79" s="3"/>
      <c r="BB79" s="2"/>
    </row>
    <row r="80" spans="23:54" x14ac:dyDescent="0.2">
      <c r="W80" s="9"/>
      <c r="X80" s="3"/>
      <c r="BB80" s="2"/>
    </row>
    <row r="81" spans="23:54" x14ac:dyDescent="0.2">
      <c r="W81" s="9"/>
      <c r="X81" s="3"/>
      <c r="BB81" s="2"/>
    </row>
    <row r="82" spans="23:54" x14ac:dyDescent="0.2">
      <c r="W82" s="9"/>
      <c r="X82" s="3"/>
      <c r="BB82" s="2"/>
    </row>
    <row r="83" spans="23:54" x14ac:dyDescent="0.2">
      <c r="W83" s="9"/>
      <c r="X83" s="3"/>
      <c r="BB83" s="2"/>
    </row>
    <row r="84" spans="23:54" x14ac:dyDescent="0.2">
      <c r="W84" s="9"/>
      <c r="X84" s="3"/>
      <c r="BB84" s="2"/>
    </row>
    <row r="85" spans="23:54" x14ac:dyDescent="0.2">
      <c r="W85" s="9"/>
      <c r="X85" s="3"/>
      <c r="BB85" s="2"/>
    </row>
    <row r="86" spans="23:54" x14ac:dyDescent="0.2">
      <c r="W86" s="9"/>
      <c r="X86" s="3"/>
      <c r="BB86" s="2"/>
    </row>
    <row r="87" spans="23:54" x14ac:dyDescent="0.2">
      <c r="W87" s="9"/>
      <c r="X87" s="3"/>
      <c r="BB87" s="2"/>
    </row>
    <row r="88" spans="23:54" x14ac:dyDescent="0.2">
      <c r="W88" s="9"/>
      <c r="X88" s="3"/>
      <c r="BB88" s="2"/>
    </row>
    <row r="89" spans="23:54" x14ac:dyDescent="0.2">
      <c r="W89" s="9"/>
      <c r="X89" s="3"/>
      <c r="BB89" s="2"/>
    </row>
    <row r="90" spans="23:54" x14ac:dyDescent="0.2">
      <c r="W90" s="9"/>
      <c r="X90" s="3"/>
      <c r="BB90" s="2"/>
    </row>
    <row r="91" spans="23:54" x14ac:dyDescent="0.2">
      <c r="W91" s="9"/>
      <c r="X91" s="3"/>
      <c r="BB91" s="2"/>
    </row>
    <row r="92" spans="23:54" x14ac:dyDescent="0.2">
      <c r="W92" s="9"/>
      <c r="X92" s="3"/>
      <c r="BB92" s="2"/>
    </row>
    <row r="93" spans="23:54" x14ac:dyDescent="0.2">
      <c r="W93" s="9"/>
      <c r="X93" s="3"/>
      <c r="BB93" s="2"/>
    </row>
    <row r="94" spans="23:54" x14ac:dyDescent="0.2">
      <c r="W94" s="9"/>
      <c r="X94" s="3"/>
      <c r="BB94" s="2"/>
    </row>
    <row r="95" spans="23:54" x14ac:dyDescent="0.2">
      <c r="W95" s="9"/>
      <c r="X95" s="3"/>
      <c r="BB95" s="2"/>
    </row>
    <row r="96" spans="23:54" x14ac:dyDescent="0.2">
      <c r="W96" s="9"/>
      <c r="X96" s="3"/>
      <c r="BB96" s="2"/>
    </row>
    <row r="97" spans="23:54" x14ac:dyDescent="0.2">
      <c r="W97" s="9"/>
      <c r="X97" s="3"/>
      <c r="BB97" s="2"/>
    </row>
    <row r="98" spans="23:54" x14ac:dyDescent="0.2">
      <c r="W98" s="9"/>
      <c r="X98" s="3"/>
      <c r="BB98" s="2"/>
    </row>
    <row r="99" spans="23:54" x14ac:dyDescent="0.2">
      <c r="W99" s="9"/>
      <c r="X99" s="3"/>
      <c r="BB99" s="2"/>
    </row>
    <row r="100" spans="23:54" x14ac:dyDescent="0.2">
      <c r="W100" s="9"/>
      <c r="X100" s="3"/>
      <c r="BB100" s="2"/>
    </row>
    <row r="101" spans="23:54" x14ac:dyDescent="0.2">
      <c r="W101" s="9"/>
      <c r="X101" s="3"/>
      <c r="BB101" s="2"/>
    </row>
    <row r="102" spans="23:54" x14ac:dyDescent="0.2">
      <c r="W102" s="9"/>
      <c r="X102" s="3"/>
      <c r="BB102" s="2"/>
    </row>
    <row r="103" spans="23:54" x14ac:dyDescent="0.2">
      <c r="W103" s="9"/>
      <c r="X103" s="3"/>
      <c r="BB103" s="2"/>
    </row>
    <row r="104" spans="23:54" x14ac:dyDescent="0.2">
      <c r="W104" s="9"/>
      <c r="X104" s="3"/>
      <c r="BB104" s="2"/>
    </row>
    <row r="105" spans="23:54" x14ac:dyDescent="0.2">
      <c r="W105" s="9"/>
      <c r="X105" s="3"/>
      <c r="BB105" s="2"/>
    </row>
  </sheetData>
  <sheetProtection algorithmName="SHA-512" hashValue="TZbTVFqazEkiwxzOuYBn+xkdhEuazEAzho5RmbRyvbD7Xnt2ZO68ybHr1NFoK8cs18SnXZAWdPkdq83T7CuXig==" saltValue="Awk94hYnxGmfqn6oEZn7wg==" spinCount="100000" sheet="1" objects="1" scenarios="1" formatColumns="0"/>
  <conditionalFormatting sqref="BH4:BH51">
    <cfRule type="expression" dxfId="13" priority="1">
      <formula>$BH4=1</formula>
    </cfRule>
  </conditionalFormatting>
  <conditionalFormatting sqref="BH4:BI51">
    <cfRule type="expression" dxfId="12" priority="2">
      <formula>$BI4=1</formula>
    </cfRule>
  </conditionalFormatting>
  <conditionalFormatting sqref="BH4:BJ51">
    <cfRule type="expression" dxfId="11" priority="3">
      <formula>$BJ4=1</formula>
    </cfRule>
  </conditionalFormatting>
  <conditionalFormatting sqref="BH4:BK51">
    <cfRule type="expression" dxfId="10" priority="4">
      <formula>$BK4=1</formula>
    </cfRule>
  </conditionalFormatting>
  <conditionalFormatting sqref="BH4:BL51">
    <cfRule type="expression" dxfId="9" priority="5">
      <formula>$BL4=1</formula>
    </cfRule>
  </conditionalFormatting>
  <conditionalFormatting sqref="BH4:BM51">
    <cfRule type="expression" dxfId="8" priority="6">
      <formula>$BM4=1</formula>
    </cfRule>
  </conditionalFormatting>
  <conditionalFormatting sqref="BH4:BN51">
    <cfRule type="expression" dxfId="7" priority="7">
      <formula>$BN4=1</formula>
    </cfRule>
  </conditionalFormatting>
  <conditionalFormatting sqref="BH4:BO51">
    <cfRule type="expression" dxfId="6" priority="8">
      <formula>$BO4=1</formula>
    </cfRule>
  </conditionalFormatting>
  <pageMargins left="0.7" right="0.7" top="0.75" bottom="0.75" header="0.3" footer="0.3"/>
  <pageSetup paperSize="9" scale="62" orientation="landscape" horizontalDpi="0" verticalDpi="0"/>
  <ignoredErrors>
    <ignoredError sqref="BI3"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B4BE2-7EDF-EB40-A1B0-E3C1B9B9F750}">
  <sheetPr codeName="Hoja8"/>
  <dimension ref="A2:P923"/>
  <sheetViews>
    <sheetView showGridLines="0" showRowColHeaders="0" topLeftCell="DL108" zoomScaleNormal="100" workbookViewId="0">
      <selection activeCell="DL108" sqref="DL108"/>
      <extLst>
        <ext xmlns:xlsdti="http://schemas.microsoft.com/office/spreadsheetml/2023/showDataTypeIcons" uri="{77bfe23e-c014-4d31-8a63-9c772dbf06b6}">
          <xlsdti:showDataTypeIcons visible="0"/>
        </ext>
      </extLst>
    </sheetView>
  </sheetViews>
  <sheetFormatPr baseColWidth="10" defaultRowHeight="15" x14ac:dyDescent="0.2"/>
  <cols>
    <col min="1" max="3" width="10.83203125" style="16"/>
    <col min="4" max="4" width="17.33203125" style="16" bestFit="1" customWidth="1"/>
    <col min="5" max="6" width="10.83203125" style="16"/>
    <col min="7" max="7" width="17.33203125" style="16" bestFit="1" customWidth="1"/>
    <col min="8" max="8" width="13" style="16" customWidth="1"/>
    <col min="9" max="9" width="10.83203125" style="16"/>
    <col min="10" max="10" width="13" style="16" bestFit="1" customWidth="1"/>
    <col min="11" max="12" width="12.33203125" style="16" bestFit="1" customWidth="1"/>
    <col min="13" max="16384" width="10.83203125" style="16"/>
  </cols>
  <sheetData>
    <row r="2" spans="1:12" x14ac:dyDescent="0.2">
      <c r="A2" s="16" t="s">
        <v>223</v>
      </c>
      <c r="B2" s="16">
        <f>IF(Home!$C$6=Idiomas!A2,1,0)</f>
        <v>0</v>
      </c>
    </row>
    <row r="3" spans="1:12" x14ac:dyDescent="0.2">
      <c r="A3" s="16" t="s">
        <v>359</v>
      </c>
      <c r="B3" s="16">
        <f>IF(Home!$C$6=Idiomas!A3,1,0)</f>
        <v>1</v>
      </c>
      <c r="E3" s="16" t="s">
        <v>176</v>
      </c>
      <c r="F3" s="16" t="s">
        <v>178</v>
      </c>
      <c r="G3" s="16" t="s">
        <v>223</v>
      </c>
      <c r="H3" s="16" t="s">
        <v>186</v>
      </c>
    </row>
    <row r="4" spans="1:12" x14ac:dyDescent="0.2">
      <c r="D4" s="16" t="str">
        <f>IF($B$2,G4,H4)</f>
        <v>Introduce Results</v>
      </c>
      <c r="E4" s="16" t="s">
        <v>23</v>
      </c>
      <c r="F4" s="16" t="s">
        <v>179</v>
      </c>
      <c r="G4" s="16" t="s">
        <v>177</v>
      </c>
      <c r="H4" s="16" t="s">
        <v>189</v>
      </c>
    </row>
    <row r="5" spans="1:12" x14ac:dyDescent="0.2">
      <c r="B5" s="606"/>
      <c r="D5" s="16" t="str">
        <f t="shared" ref="D5:D12" si="0">IF($B$2,G5,H5)</f>
        <v>If you want to organize a pool (betting game) with your group, you can download the administrator file from the link below.</v>
      </c>
      <c r="E5" s="16" t="s">
        <v>23</v>
      </c>
      <c r="F5" s="16" t="s">
        <v>180</v>
      </c>
      <c r="G5" s="16" t="s">
        <v>1351</v>
      </c>
      <c r="H5" s="16" t="s">
        <v>1352</v>
      </c>
      <c r="K5" s="582" t="s">
        <v>1304</v>
      </c>
      <c r="L5" s="582" t="s">
        <v>1305</v>
      </c>
    </row>
    <row r="6" spans="1:12" x14ac:dyDescent="0.2">
      <c r="B6" s="606"/>
      <c r="D6" s="16" t="str">
        <f t="shared" si="0"/>
        <v>Team Predictor</v>
      </c>
      <c r="E6" s="16" t="s">
        <v>23</v>
      </c>
      <c r="G6" s="582" t="s">
        <v>1302</v>
      </c>
      <c r="H6" s="582" t="s">
        <v>1303</v>
      </c>
    </row>
    <row r="7" spans="1:12" x14ac:dyDescent="0.2">
      <c r="D7" s="16" t="str">
        <f t="shared" si="0"/>
        <v>Select languaje</v>
      </c>
      <c r="E7" s="16" t="s">
        <v>23</v>
      </c>
      <c r="F7" s="16" t="s">
        <v>358</v>
      </c>
      <c r="G7" s="16" t="s">
        <v>1315</v>
      </c>
      <c r="H7" s="16" t="s">
        <v>1316</v>
      </c>
    </row>
    <row r="8" spans="1:12" x14ac:dyDescent="0.2">
      <c r="D8" s="16" t="str">
        <f t="shared" si="0"/>
        <v>XXIII World Cup USA/MEX/CAN 2026</v>
      </c>
      <c r="E8" s="16" t="s">
        <v>23</v>
      </c>
      <c r="F8" s="16" t="s">
        <v>360</v>
      </c>
      <c r="G8" s="16" t="s">
        <v>504</v>
      </c>
      <c r="H8" s="16" t="s">
        <v>505</v>
      </c>
    </row>
    <row r="9" spans="1:12" x14ac:dyDescent="0.2">
      <c r="D9" s="16" t="str">
        <f t="shared" si="0"/>
        <v>▼ Download Administrator Excel File ▼</v>
      </c>
      <c r="E9" s="16" t="s">
        <v>23</v>
      </c>
      <c r="F9" s="16" t="s">
        <v>361</v>
      </c>
      <c r="G9" s="16" t="s">
        <v>1327</v>
      </c>
      <c r="H9" s="16" t="s">
        <v>1328</v>
      </c>
    </row>
    <row r="10" spans="1:12" x14ac:dyDescent="0.2">
      <c r="D10" s="16" t="str">
        <f t="shared" si="0"/>
        <v>https://matejero.com/download/admin-world-cup-2026/</v>
      </c>
      <c r="E10" s="16" t="s">
        <v>23</v>
      </c>
      <c r="F10" s="16" t="s">
        <v>444</v>
      </c>
      <c r="G10" s="16" t="s">
        <v>1317</v>
      </c>
      <c r="H10" s="16" t="s">
        <v>1318</v>
      </c>
    </row>
    <row r="11" spans="1:12" x14ac:dyDescent="0.2">
      <c r="D11" s="16" t="str">
        <f>IF($B$2,G11,H11)</f>
        <v>*Beta version until all participants are known in March 2026</v>
      </c>
      <c r="E11" s="16" t="s">
        <v>23</v>
      </c>
      <c r="G11" s="16" t="s">
        <v>1445</v>
      </c>
      <c r="H11" s="16" t="s">
        <v>1446</v>
      </c>
    </row>
    <row r="12" spans="1:12" x14ac:dyDescent="0.2">
      <c r="D12" s="16" t="str">
        <f t="shared" si="0"/>
        <v>Donate</v>
      </c>
      <c r="E12" s="16" t="s">
        <v>23</v>
      </c>
      <c r="G12" s="16" t="s">
        <v>1322</v>
      </c>
      <c r="H12" s="16" t="s">
        <v>1321</v>
      </c>
    </row>
    <row r="14" spans="1:12" x14ac:dyDescent="0.2">
      <c r="B14" s="606"/>
    </row>
    <row r="15" spans="1:12" x14ac:dyDescent="0.2">
      <c r="D15" s="16" t="str">
        <f t="shared" ref="D15:D66" si="1">IF($B$2,G15,H15)</f>
        <v>Select timetable</v>
      </c>
      <c r="E15" s="16" t="s">
        <v>490</v>
      </c>
      <c r="F15" s="16" t="s">
        <v>118</v>
      </c>
      <c r="G15" s="16" t="s">
        <v>1314</v>
      </c>
      <c r="H15" s="16" t="s">
        <v>1313</v>
      </c>
    </row>
    <row r="16" spans="1:12" x14ac:dyDescent="0.2">
      <c r="D16" s="16" t="str">
        <f t="shared" si="1"/>
        <v>Fill in the gray cells</v>
      </c>
      <c r="E16" s="16" t="s">
        <v>490</v>
      </c>
      <c r="F16" s="16" t="s">
        <v>181</v>
      </c>
      <c r="G16" s="16" t="s">
        <v>1207</v>
      </c>
      <c r="H16" s="16" t="s">
        <v>1208</v>
      </c>
    </row>
    <row r="17" spans="4:8" x14ac:dyDescent="0.2">
      <c r="D17" s="16" t="str">
        <f t="shared" si="1"/>
        <v>Date</v>
      </c>
      <c r="E17" s="16" t="s">
        <v>490</v>
      </c>
      <c r="F17" s="16" t="s">
        <v>131</v>
      </c>
      <c r="G17" s="16" t="s">
        <v>10</v>
      </c>
      <c r="H17" s="16" t="s">
        <v>224</v>
      </c>
    </row>
    <row r="18" spans="4:8" x14ac:dyDescent="0.2">
      <c r="D18" s="16" t="str">
        <f t="shared" si="1"/>
        <v>Hour</v>
      </c>
      <c r="E18" s="16" t="s">
        <v>490</v>
      </c>
      <c r="F18" s="16" t="s">
        <v>182</v>
      </c>
      <c r="G18" s="16" t="s">
        <v>31</v>
      </c>
      <c r="H18" s="16" t="s">
        <v>185</v>
      </c>
    </row>
    <row r="19" spans="4:8" x14ac:dyDescent="0.2">
      <c r="D19" s="16" t="str">
        <f t="shared" si="1"/>
        <v>R</v>
      </c>
      <c r="E19" s="16" t="s">
        <v>490</v>
      </c>
      <c r="F19" s="16" t="s">
        <v>183</v>
      </c>
      <c r="G19" s="16" t="s">
        <v>33</v>
      </c>
      <c r="H19" s="16" t="s">
        <v>187</v>
      </c>
    </row>
    <row r="20" spans="4:8" x14ac:dyDescent="0.2">
      <c r="D20" s="16" t="str">
        <f t="shared" si="1"/>
        <v>Home</v>
      </c>
      <c r="E20" s="16" t="s">
        <v>490</v>
      </c>
      <c r="F20" s="16" t="s">
        <v>184</v>
      </c>
      <c r="G20" s="16" t="s">
        <v>16</v>
      </c>
      <c r="H20" s="16" t="s">
        <v>188</v>
      </c>
    </row>
    <row r="21" spans="4:8" x14ac:dyDescent="0.2">
      <c r="D21" s="16" t="str">
        <f t="shared" si="1"/>
        <v>Goal</v>
      </c>
      <c r="E21" s="16" t="s">
        <v>490</v>
      </c>
      <c r="F21" s="16" t="s">
        <v>190</v>
      </c>
      <c r="G21" s="16" t="s">
        <v>18</v>
      </c>
      <c r="H21" s="16" t="s">
        <v>191</v>
      </c>
    </row>
    <row r="22" spans="4:8" x14ac:dyDescent="0.2">
      <c r="D22" s="16" t="str">
        <f t="shared" si="1"/>
        <v>Away</v>
      </c>
      <c r="E22" s="16" t="s">
        <v>490</v>
      </c>
      <c r="F22" s="16" t="s">
        <v>192</v>
      </c>
      <c r="G22" s="16" t="s">
        <v>17</v>
      </c>
      <c r="H22" s="16" t="s">
        <v>193</v>
      </c>
    </row>
    <row r="23" spans="4:8" x14ac:dyDescent="0.2">
      <c r="D23" s="16" t="str">
        <f t="shared" si="1"/>
        <v>Group</v>
      </c>
      <c r="E23" s="16" t="s">
        <v>490</v>
      </c>
      <c r="F23" s="16" t="s">
        <v>194</v>
      </c>
      <c r="G23" s="16" t="s">
        <v>73</v>
      </c>
      <c r="H23" s="16" t="s">
        <v>195</v>
      </c>
    </row>
    <row r="24" spans="4:8" x14ac:dyDescent="0.2">
      <c r="D24" s="16" t="str">
        <f t="shared" si="1"/>
        <v>IT'S A DRAW! Choose the order of the Nations to determine their rankings.</v>
      </c>
      <c r="E24" s="16" t="s">
        <v>490</v>
      </c>
      <c r="F24" s="16" t="s">
        <v>196</v>
      </c>
      <c r="G24" s="16" t="s">
        <v>24</v>
      </c>
      <c r="H24" s="16" t="s">
        <v>231</v>
      </c>
    </row>
    <row r="25" spans="4:8" x14ac:dyDescent="0.2">
      <c r="D25" s="16" t="str">
        <f t="shared" si="1"/>
        <v>IT'S A DRAW! Choose the order of the Nations to determine their rankings.</v>
      </c>
      <c r="E25" s="16" t="s">
        <v>490</v>
      </c>
      <c r="F25" s="16" t="s">
        <v>211</v>
      </c>
      <c r="G25" s="16" t="s">
        <v>112</v>
      </c>
      <c r="H25" s="16" t="s">
        <v>231</v>
      </c>
    </row>
    <row r="26" spans="4:8" x14ac:dyDescent="0.2">
      <c r="D26" s="16" t="str">
        <f t="shared" si="1"/>
        <v>Best third-placed</v>
      </c>
      <c r="E26" s="16" t="s">
        <v>490</v>
      </c>
      <c r="F26" s="16" t="s">
        <v>197</v>
      </c>
      <c r="G26" s="16" t="s">
        <v>69</v>
      </c>
      <c r="H26" s="16" t="s">
        <v>232</v>
      </c>
    </row>
    <row r="27" spans="4:8" x14ac:dyDescent="0.2">
      <c r="D27" s="16" t="str">
        <f t="shared" si="1"/>
        <v>Round of 32</v>
      </c>
      <c r="E27" s="16" t="s">
        <v>490</v>
      </c>
      <c r="G27" s="16" t="s">
        <v>491</v>
      </c>
      <c r="H27" s="16" t="s">
        <v>492</v>
      </c>
    </row>
    <row r="28" spans="4:8" x14ac:dyDescent="0.2">
      <c r="D28" s="16" t="str">
        <f t="shared" si="1"/>
        <v>Round of 16</v>
      </c>
      <c r="E28" s="16" t="s">
        <v>490</v>
      </c>
      <c r="F28" s="16" t="s">
        <v>198</v>
      </c>
      <c r="G28" s="16" t="s">
        <v>88</v>
      </c>
      <c r="H28" s="16" t="s">
        <v>225</v>
      </c>
    </row>
    <row r="29" spans="4:8" x14ac:dyDescent="0.2">
      <c r="D29" s="16" t="str">
        <f t="shared" si="1"/>
        <v>Quarterfinals</v>
      </c>
      <c r="E29" s="16" t="s">
        <v>490</v>
      </c>
      <c r="F29" s="16" t="s">
        <v>199</v>
      </c>
      <c r="G29" s="16" t="s">
        <v>71</v>
      </c>
      <c r="H29" s="16" t="s">
        <v>226</v>
      </c>
    </row>
    <row r="30" spans="4:8" x14ac:dyDescent="0.2">
      <c r="D30" s="16" t="str">
        <f t="shared" si="1"/>
        <v>Semifinals</v>
      </c>
      <c r="E30" s="16" t="s">
        <v>490</v>
      </c>
      <c r="F30" s="16" t="s">
        <v>200</v>
      </c>
      <c r="G30" s="16" t="s">
        <v>38</v>
      </c>
      <c r="H30" s="16" t="s">
        <v>227</v>
      </c>
    </row>
    <row r="31" spans="4:8" x14ac:dyDescent="0.2">
      <c r="D31" s="16" t="str">
        <f t="shared" si="1"/>
        <v>3rd-4th place</v>
      </c>
      <c r="E31" s="16" t="s">
        <v>490</v>
      </c>
      <c r="G31" s="16" t="s">
        <v>501</v>
      </c>
      <c r="H31" s="16" t="s">
        <v>502</v>
      </c>
    </row>
    <row r="32" spans="4:8" x14ac:dyDescent="0.2">
      <c r="D32" s="16" t="str">
        <f t="shared" si="1"/>
        <v>Final</v>
      </c>
      <c r="E32" s="16" t="s">
        <v>490</v>
      </c>
      <c r="F32" s="16" t="s">
        <v>201</v>
      </c>
      <c r="G32" s="16" t="s">
        <v>39</v>
      </c>
      <c r="H32" s="16" t="s">
        <v>39</v>
      </c>
    </row>
    <row r="33" spans="4:8" x14ac:dyDescent="0.2">
      <c r="D33" s="16" t="str">
        <f t="shared" si="1"/>
        <v>Honor box</v>
      </c>
      <c r="E33" s="16" t="s">
        <v>490</v>
      </c>
      <c r="F33" s="16" t="s">
        <v>202</v>
      </c>
      <c r="G33" s="16" t="s">
        <v>1319</v>
      </c>
      <c r="H33" s="16" t="s">
        <v>1320</v>
      </c>
    </row>
    <row r="34" spans="4:8" x14ac:dyDescent="0.2">
      <c r="D34" s="16" t="str">
        <f t="shared" si="1"/>
        <v>Winner</v>
      </c>
      <c r="E34" s="16" t="s">
        <v>490</v>
      </c>
      <c r="F34" s="16" t="s">
        <v>203</v>
      </c>
      <c r="G34" s="16" t="s">
        <v>19</v>
      </c>
      <c r="H34" s="16" t="s">
        <v>229</v>
      </c>
    </row>
    <row r="35" spans="4:8" x14ac:dyDescent="0.2">
      <c r="D35" s="16" t="str">
        <f t="shared" si="1"/>
        <v>Runner-up</v>
      </c>
      <c r="E35" s="16" t="s">
        <v>490</v>
      </c>
      <c r="F35" s="16" t="s">
        <v>204</v>
      </c>
      <c r="G35" s="16" t="s">
        <v>20</v>
      </c>
      <c r="H35" s="16" t="s">
        <v>230</v>
      </c>
    </row>
    <row r="36" spans="4:8" x14ac:dyDescent="0.2">
      <c r="D36" s="16" t="str">
        <f t="shared" si="1"/>
        <v>3rd place</v>
      </c>
      <c r="E36" s="16" t="s">
        <v>490</v>
      </c>
      <c r="G36" s="16" t="s">
        <v>1239</v>
      </c>
      <c r="H36" s="16" t="s">
        <v>1240</v>
      </c>
    </row>
    <row r="37" spans="4:8" x14ac:dyDescent="0.2">
      <c r="D37" s="16" t="str">
        <f t="shared" si="1"/>
        <v>Golden Boot  (Top Scorer)</v>
      </c>
      <c r="E37" s="16" t="s">
        <v>490</v>
      </c>
      <c r="F37" s="16" t="s">
        <v>205</v>
      </c>
      <c r="G37" s="9" t="s">
        <v>509</v>
      </c>
      <c r="H37" s="16" t="s">
        <v>515</v>
      </c>
    </row>
    <row r="38" spans="4:8" x14ac:dyDescent="0.2">
      <c r="D38" s="16" t="str">
        <f t="shared" si="1"/>
        <v>Silver Boot  (2nd Top Scorer)</v>
      </c>
      <c r="E38" s="16" t="s">
        <v>490</v>
      </c>
      <c r="F38" s="16" t="s">
        <v>206</v>
      </c>
      <c r="G38" s="9" t="s">
        <v>510</v>
      </c>
      <c r="H38" s="16" t="s">
        <v>516</v>
      </c>
    </row>
    <row r="39" spans="4:8" x14ac:dyDescent="0.2">
      <c r="D39" s="16" t="str">
        <f t="shared" si="1"/>
        <v>Bronze Boot (3rd Top Scorer)</v>
      </c>
      <c r="G39" s="9" t="s">
        <v>511</v>
      </c>
      <c r="H39" s="16" t="s">
        <v>517</v>
      </c>
    </row>
    <row r="40" spans="4:8" x14ac:dyDescent="0.2">
      <c r="D40" s="16" t="str">
        <f t="shared" si="1"/>
        <v>Golden Ball (Best Player)</v>
      </c>
      <c r="G40" s="9" t="s">
        <v>512</v>
      </c>
      <c r="H40" s="16" t="s">
        <v>518</v>
      </c>
    </row>
    <row r="41" spans="4:8" x14ac:dyDescent="0.2">
      <c r="D41" s="16" t="str">
        <f t="shared" si="1"/>
        <v>Silver Ball (2nd Best Player)</v>
      </c>
      <c r="G41" s="9" t="s">
        <v>513</v>
      </c>
      <c r="H41" s="16" t="s">
        <v>519</v>
      </c>
    </row>
    <row r="42" spans="4:8" x14ac:dyDescent="0.2">
      <c r="D42" s="16" t="str">
        <f t="shared" si="1"/>
        <v>Bronze ball (3rd Best Player)</v>
      </c>
      <c r="G42" s="9" t="s">
        <v>514</v>
      </c>
      <c r="H42" s="16" t="s">
        <v>1515</v>
      </c>
    </row>
    <row r="43" spans="4:8" x14ac:dyDescent="0.2">
      <c r="D43" s="16" t="str">
        <f t="shared" si="1"/>
        <v>Write a player</v>
      </c>
      <c r="E43" s="16" t="s">
        <v>490</v>
      </c>
      <c r="F43" s="16" t="s">
        <v>207</v>
      </c>
      <c r="G43" s="16" t="s">
        <v>22</v>
      </c>
      <c r="H43" s="16" t="s">
        <v>248</v>
      </c>
    </row>
    <row r="44" spans="4:8" x14ac:dyDescent="0.2">
      <c r="D44" s="16" t="str">
        <f t="shared" si="1"/>
        <v>Write a player</v>
      </c>
      <c r="E44" s="16" t="s">
        <v>490</v>
      </c>
      <c r="F44" s="16" t="s">
        <v>208</v>
      </c>
      <c r="G44" s="16" t="s">
        <v>22</v>
      </c>
      <c r="H44" s="16" t="s">
        <v>248</v>
      </c>
    </row>
    <row r="45" spans="4:8" x14ac:dyDescent="0.2">
      <c r="D45" s="16" t="str">
        <f t="shared" si="1"/>
        <v>Name</v>
      </c>
      <c r="E45" s="16" t="s">
        <v>490</v>
      </c>
      <c r="F45" s="16" t="s">
        <v>209</v>
      </c>
      <c r="G45" s="16" t="s">
        <v>44</v>
      </c>
      <c r="H45" s="16" t="s">
        <v>280</v>
      </c>
    </row>
    <row r="46" spans="4:8" x14ac:dyDescent="0.2">
      <c r="D46" s="16" t="str">
        <f t="shared" si="1"/>
        <v>Write your name</v>
      </c>
      <c r="E46" s="16" t="s">
        <v>490</v>
      </c>
      <c r="F46" s="16" t="s">
        <v>210</v>
      </c>
      <c r="G46" s="16" t="s">
        <v>1329</v>
      </c>
      <c r="H46" s="16" t="s">
        <v>1330</v>
      </c>
    </row>
    <row r="47" spans="4:8" x14ac:dyDescent="0.2">
      <c r="D47" s="16" t="str">
        <f t="shared" si="1"/>
        <v>INCOMPLETE POOL:</v>
      </c>
      <c r="E47" s="16" t="s">
        <v>490</v>
      </c>
      <c r="F47" s="16" t="s">
        <v>215</v>
      </c>
      <c r="G47" s="16" t="s">
        <v>212</v>
      </c>
      <c r="H47" s="16" t="s">
        <v>233</v>
      </c>
    </row>
    <row r="48" spans="4:8" x14ac:dyDescent="0.2">
      <c r="D48" s="16" t="str">
        <f t="shared" si="1"/>
        <v>You may have left over some match-ups without prediction or you may have not written your name</v>
      </c>
      <c r="E48" s="16" t="s">
        <v>490</v>
      </c>
      <c r="F48" s="16" t="s">
        <v>216</v>
      </c>
      <c r="G48" s="16" t="s">
        <v>214</v>
      </c>
      <c r="H48" s="16" t="s">
        <v>249</v>
      </c>
    </row>
    <row r="49" spans="4:11" x14ac:dyDescent="0.2">
      <c r="D49" s="16" t="str">
        <f t="shared" si="1"/>
        <v>POOL COMPLETED</v>
      </c>
      <c r="E49" s="16" t="s">
        <v>490</v>
      </c>
      <c r="F49" s="16" t="s">
        <v>217</v>
      </c>
      <c r="G49" s="16" t="s">
        <v>213</v>
      </c>
      <c r="H49" s="16" t="s">
        <v>234</v>
      </c>
    </row>
    <row r="50" spans="4:11" x14ac:dyDescent="0.2">
      <c r="D50" s="16" t="str">
        <f t="shared" si="1"/>
        <v>Save the file and send it over by email.</v>
      </c>
      <c r="E50" s="16" t="s">
        <v>490</v>
      </c>
      <c r="F50" s="16" t="s">
        <v>218</v>
      </c>
      <c r="G50" s="16" t="s">
        <v>1332</v>
      </c>
      <c r="H50" s="16" t="s">
        <v>250</v>
      </c>
    </row>
    <row r="51" spans="4:11" x14ac:dyDescent="0.2">
      <c r="D51" s="16" t="str">
        <f t="shared" si="1"/>
        <v>Pos</v>
      </c>
      <c r="E51" s="16" t="s">
        <v>490</v>
      </c>
      <c r="F51" s="16" t="s">
        <v>235</v>
      </c>
      <c r="G51" s="16" t="s">
        <v>14</v>
      </c>
      <c r="H51" s="16" t="s">
        <v>14</v>
      </c>
    </row>
    <row r="52" spans="4:11" x14ac:dyDescent="0.2">
      <c r="D52" s="16" t="str">
        <f t="shared" si="1"/>
        <v>Nation</v>
      </c>
      <c r="E52" s="16" t="s">
        <v>490</v>
      </c>
      <c r="F52" s="16" t="s">
        <v>236</v>
      </c>
      <c r="G52" s="16" t="s">
        <v>70</v>
      </c>
      <c r="H52" s="16" t="s">
        <v>245</v>
      </c>
    </row>
    <row r="53" spans="4:11" x14ac:dyDescent="0.2">
      <c r="D53" s="16" t="str">
        <f t="shared" si="1"/>
        <v>Pts</v>
      </c>
      <c r="E53" s="16" t="s">
        <v>490</v>
      </c>
      <c r="F53" s="16" t="s">
        <v>237</v>
      </c>
      <c r="G53" s="16" t="s">
        <v>34</v>
      </c>
      <c r="H53" s="16" t="s">
        <v>34</v>
      </c>
    </row>
    <row r="54" spans="4:11" x14ac:dyDescent="0.2">
      <c r="D54" s="16" t="str">
        <f t="shared" si="1"/>
        <v>P</v>
      </c>
      <c r="E54" s="16" t="s">
        <v>490</v>
      </c>
      <c r="F54" s="16" t="s">
        <v>238</v>
      </c>
      <c r="G54" s="16" t="s">
        <v>5</v>
      </c>
      <c r="H54" s="16" t="s">
        <v>7</v>
      </c>
    </row>
    <row r="55" spans="4:11" x14ac:dyDescent="0.2">
      <c r="D55" s="16" t="str">
        <f t="shared" si="1"/>
        <v>W</v>
      </c>
      <c r="E55" s="16" t="s">
        <v>490</v>
      </c>
      <c r="F55" s="16" t="s">
        <v>239</v>
      </c>
      <c r="G55" s="16" t="s">
        <v>6</v>
      </c>
      <c r="H55" s="16" t="s">
        <v>246</v>
      </c>
    </row>
    <row r="56" spans="4:11" x14ac:dyDescent="0.2">
      <c r="D56" s="16" t="str">
        <f t="shared" si="1"/>
        <v>D</v>
      </c>
      <c r="E56" s="16" t="s">
        <v>490</v>
      </c>
      <c r="F56" s="16" t="s">
        <v>240</v>
      </c>
      <c r="G56" s="16" t="s">
        <v>3</v>
      </c>
      <c r="H56" s="16" t="s">
        <v>74</v>
      </c>
      <c r="K56" s="9"/>
    </row>
    <row r="57" spans="4:11" x14ac:dyDescent="0.2">
      <c r="D57" s="16" t="str">
        <f t="shared" si="1"/>
        <v>L</v>
      </c>
      <c r="E57" s="16" t="s">
        <v>490</v>
      </c>
      <c r="F57" s="16" t="s">
        <v>241</v>
      </c>
      <c r="G57" s="16" t="s">
        <v>7</v>
      </c>
      <c r="H57" s="16" t="s">
        <v>247</v>
      </c>
      <c r="K57" s="9"/>
    </row>
    <row r="58" spans="4:11" x14ac:dyDescent="0.2">
      <c r="D58" s="16" t="str">
        <f t="shared" si="1"/>
        <v>F</v>
      </c>
      <c r="E58" s="16" t="s">
        <v>490</v>
      </c>
      <c r="F58" s="16" t="s">
        <v>242</v>
      </c>
      <c r="G58" s="16" t="s">
        <v>8</v>
      </c>
      <c r="H58" s="16" t="s">
        <v>4</v>
      </c>
      <c r="K58" s="9"/>
    </row>
    <row r="59" spans="4:11" x14ac:dyDescent="0.2">
      <c r="D59" s="16" t="str">
        <f t="shared" si="1"/>
        <v>A</v>
      </c>
      <c r="E59" s="16" t="s">
        <v>490</v>
      </c>
      <c r="F59" s="16" t="s">
        <v>243</v>
      </c>
      <c r="G59" s="16" t="s">
        <v>9</v>
      </c>
      <c r="H59" s="16" t="s">
        <v>0</v>
      </c>
      <c r="K59" s="9"/>
    </row>
    <row r="60" spans="4:11" x14ac:dyDescent="0.2">
      <c r="D60" s="16" t="str">
        <f t="shared" si="1"/>
        <v>GD</v>
      </c>
      <c r="E60" s="16" t="s">
        <v>490</v>
      </c>
      <c r="F60" s="16" t="s">
        <v>244</v>
      </c>
      <c r="G60" s="16" t="s">
        <v>68</v>
      </c>
      <c r="H60" s="16" t="s">
        <v>82</v>
      </c>
      <c r="K60" s="9"/>
    </row>
    <row r="61" spans="4:11" x14ac:dyDescent="0.2">
      <c r="D61" s="16" t="str">
        <f t="shared" si="1"/>
        <v>R1</v>
      </c>
      <c r="E61" s="16" t="s">
        <v>490</v>
      </c>
      <c r="G61" s="16" t="s">
        <v>28</v>
      </c>
      <c r="H61" s="16" t="s">
        <v>285</v>
      </c>
      <c r="K61" s="9"/>
    </row>
    <row r="62" spans="4:11" x14ac:dyDescent="0.2">
      <c r="D62" s="16" t="str">
        <f t="shared" si="1"/>
        <v>R2</v>
      </c>
      <c r="E62" s="16" t="s">
        <v>490</v>
      </c>
      <c r="G62" s="16" t="s">
        <v>29</v>
      </c>
      <c r="H62" s="16" t="s">
        <v>286</v>
      </c>
    </row>
    <row r="63" spans="4:11" x14ac:dyDescent="0.2">
      <c r="D63" s="16" t="str">
        <f t="shared" si="1"/>
        <v>R3</v>
      </c>
      <c r="E63" s="16" t="s">
        <v>490</v>
      </c>
      <c r="G63" s="16" t="s">
        <v>30</v>
      </c>
      <c r="H63" s="16" t="s">
        <v>287</v>
      </c>
    </row>
    <row r="64" spans="4:11" x14ac:dyDescent="0.2">
      <c r="D64" s="16" t="str">
        <f t="shared" si="1"/>
        <v>Show the best third-placed teams before the group stage ends?</v>
      </c>
      <c r="E64" s="16" t="s">
        <v>490</v>
      </c>
      <c r="F64" s="16" t="s">
        <v>1235</v>
      </c>
      <c r="G64" s="593" t="s">
        <v>1349</v>
      </c>
      <c r="H64" s="16" t="s">
        <v>1236</v>
      </c>
    </row>
    <row r="65" spans="3:8" x14ac:dyDescent="0.2">
      <c r="D65" s="16" t="str">
        <f t="shared" si="1"/>
        <v>Yes</v>
      </c>
      <c r="E65" s="16" t="s">
        <v>490</v>
      </c>
      <c r="G65" s="16" t="s">
        <v>1232</v>
      </c>
      <c r="H65" s="16" t="s">
        <v>1234</v>
      </c>
    </row>
    <row r="66" spans="3:8" x14ac:dyDescent="0.2">
      <c r="D66" s="16" t="str">
        <f t="shared" si="1"/>
        <v>No</v>
      </c>
      <c r="E66" s="16" t="s">
        <v>490</v>
      </c>
      <c r="G66" s="16" t="s">
        <v>1233</v>
      </c>
      <c r="H66" s="16" t="s">
        <v>1233</v>
      </c>
    </row>
    <row r="67" spans="3:8" x14ac:dyDescent="0.2">
      <c r="D67" s="16" t="str">
        <f t="shared" ref="D67:D76" si="2">IF($B$2,G67,H67)</f>
        <v>Deducted Points</v>
      </c>
      <c r="E67" s="16" t="s">
        <v>490</v>
      </c>
      <c r="G67" s="582" t="s">
        <v>1237</v>
      </c>
      <c r="H67" s="582" t="s">
        <v>1238</v>
      </c>
    </row>
    <row r="68" spans="3:8" x14ac:dyDescent="0.2">
      <c r="D68" s="16" t="str">
        <f t="shared" si="2"/>
        <v xml:space="preserve">Best 3-placed groups: </v>
      </c>
      <c r="E68" s="16" t="s">
        <v>490</v>
      </c>
      <c r="G68" s="582" t="s">
        <v>1346</v>
      </c>
      <c r="H68" s="582" t="s">
        <v>1345</v>
      </c>
    </row>
    <row r="69" spans="3:8" x14ac:dyDescent="0.2">
      <c r="D69" s="16" t="str">
        <f t="shared" si="2"/>
        <v>The ranking of the best third places appears at the end of J1</v>
      </c>
      <c r="E69" s="16" t="s">
        <v>490</v>
      </c>
      <c r="G69" s="16" t="s">
        <v>1372</v>
      </c>
      <c r="H69" s="16" t="s">
        <v>1373</v>
      </c>
    </row>
    <row r="70" spans="3:8" x14ac:dyDescent="0.2">
      <c r="D70" s="16" t="str">
        <f t="shared" si="2"/>
        <v>Yes</v>
      </c>
      <c r="E70" s="16" t="s">
        <v>490</v>
      </c>
      <c r="G70" s="16" t="s">
        <v>1232</v>
      </c>
      <c r="H70" s="16" t="s">
        <v>1234</v>
      </c>
    </row>
    <row r="71" spans="3:8" x14ac:dyDescent="0.2">
      <c r="D71" s="16" t="str">
        <f t="shared" si="2"/>
        <v>No</v>
      </c>
      <c r="E71" s="16" t="s">
        <v>490</v>
      </c>
      <c r="G71" s="16" t="s">
        <v>1233</v>
      </c>
      <c r="H71" s="16" t="s">
        <v>1233</v>
      </c>
    </row>
    <row r="72" spans="3:8" x14ac:dyDescent="0.2">
      <c r="D72" s="16" t="str">
        <f t="shared" si="2"/>
        <v>Are there penalized teams?</v>
      </c>
      <c r="E72" s="16" t="s">
        <v>490</v>
      </c>
      <c r="G72" s="16" t="s">
        <v>1447</v>
      </c>
      <c r="H72" s="16" t="s">
        <v>1448</v>
      </c>
    </row>
    <row r="73" spans="3:8" x14ac:dyDescent="0.2">
      <c r="C73" s="16">
        <v>1</v>
      </c>
      <c r="D73" s="16" t="str">
        <f t="shared" si="2"/>
        <v>Normal</v>
      </c>
      <c r="E73" s="16" t="s">
        <v>490</v>
      </c>
      <c r="G73" s="16" t="s">
        <v>1485</v>
      </c>
      <c r="H73" s="16" t="s">
        <v>1485</v>
      </c>
    </row>
    <row r="74" spans="3:8" x14ac:dyDescent="0.2">
      <c r="C74" s="16">
        <v>2</v>
      </c>
      <c r="D74" s="16" t="str">
        <f t="shared" si="2"/>
        <v>Matches against the bottom team are excluded.</v>
      </c>
      <c r="E74" s="16" t="s">
        <v>490</v>
      </c>
      <c r="G74" s="16" t="s">
        <v>1486</v>
      </c>
      <c r="H74" s="16" t="s">
        <v>1489</v>
      </c>
    </row>
    <row r="75" spans="3:8" x14ac:dyDescent="0.2">
      <c r="C75" s="16">
        <v>3</v>
      </c>
      <c r="D75" s="16" t="str">
        <f t="shared" si="2"/>
        <v>Average per match</v>
      </c>
      <c r="E75" s="16" t="s">
        <v>490</v>
      </c>
      <c r="G75" s="16" t="s">
        <v>1487</v>
      </c>
      <c r="H75" s="16" t="s">
        <v>1490</v>
      </c>
    </row>
    <row r="76" spans="3:8" x14ac:dyDescent="0.2">
      <c r="D76" s="16" t="str">
        <f t="shared" si="2"/>
        <v>Select criteria:</v>
      </c>
      <c r="E76" s="16" t="s">
        <v>490</v>
      </c>
      <c r="G76" s="16" t="s">
        <v>1491</v>
      </c>
      <c r="H76" s="16" t="s">
        <v>1492</v>
      </c>
    </row>
    <row r="77" spans="3:8" ht="15" customHeight="1" x14ac:dyDescent="0.2"/>
    <row r="79" spans="3:8" x14ac:dyDescent="0.2">
      <c r="D79" s="16" t="str">
        <f t="shared" ref="D79:D96" si="3">IF($B$2,G79,H79)</f>
        <v>This file is available without guarantee. The author is not responsible for the damage, inaccuracy of the data or losses of any kind caused by the use or misuse of the file. The use of this file will be the responsibility of the user. File passwords will not be provided (and we don't answer to requests for them). The file doesn't contain macros. It's recommended to scan the downloaded file with a reputable antivirus. The file should not be edited except in the places established for it (enter the results, the names). The formulas, protection and structure must not be modified. The file cannot be resold to third parties and is for the exclusive use of the user.</v>
      </c>
      <c r="E79" s="16" t="s">
        <v>220</v>
      </c>
      <c r="F79" s="16" t="s">
        <v>127</v>
      </c>
      <c r="G79" s="16" t="s">
        <v>1452</v>
      </c>
      <c r="H79" s="16" t="s">
        <v>1453</v>
      </c>
    </row>
    <row r="80" spans="3:8" x14ac:dyDescent="0.2">
      <c r="D80" s="16" t="str">
        <f t="shared" si="3"/>
        <v>Author:</v>
      </c>
      <c r="E80" s="16" t="s">
        <v>220</v>
      </c>
      <c r="F80" s="16" t="s">
        <v>221</v>
      </c>
      <c r="G80" s="16" t="s">
        <v>26</v>
      </c>
      <c r="H80" s="16" t="s">
        <v>298</v>
      </c>
    </row>
    <row r="81" spans="4:8" x14ac:dyDescent="0.2">
      <c r="D81" s="16" t="str">
        <f t="shared" si="3"/>
        <v>Last version:</v>
      </c>
      <c r="E81" s="16" t="s">
        <v>220</v>
      </c>
      <c r="F81" s="16" t="s">
        <v>222</v>
      </c>
      <c r="G81" s="16" t="s">
        <v>300</v>
      </c>
      <c r="H81" s="16" t="s">
        <v>299</v>
      </c>
    </row>
    <row r="82" spans="4:8" x14ac:dyDescent="0.2">
      <c r="D82" s="16" t="str">
        <f t="shared" si="3"/>
        <v>Disclaimer:</v>
      </c>
      <c r="E82" s="16" t="s">
        <v>220</v>
      </c>
      <c r="F82" s="16" t="s">
        <v>121</v>
      </c>
      <c r="G82" s="16" t="s">
        <v>25</v>
      </c>
      <c r="H82" s="16" t="s">
        <v>362</v>
      </c>
    </row>
    <row r="83" spans="4:8" x14ac:dyDescent="0.2">
      <c r="D83" s="16" t="str">
        <f t="shared" si="3"/>
        <v>TO DOWNLOAD, CLICK ON</v>
      </c>
      <c r="E83" s="16" t="s">
        <v>220</v>
      </c>
      <c r="G83" s="16" t="s">
        <v>1375</v>
      </c>
      <c r="H83" s="16" t="s">
        <v>1374</v>
      </c>
    </row>
    <row r="84" spans="4:8" x14ac:dyDescent="0.2">
      <c r="D84" s="16" t="str">
        <f t="shared" si="3"/>
        <v>· Select the language and time zone</v>
      </c>
      <c r="E84" s="16" t="s">
        <v>220</v>
      </c>
      <c r="G84" s="16" t="s">
        <v>1420</v>
      </c>
      <c r="H84" s="16" t="s">
        <v>1432</v>
      </c>
    </row>
    <row r="85" spans="4:8" x14ac:dyDescent="0.2">
      <c r="D85" s="16" t="str">
        <f t="shared" si="3"/>
        <v>· If you are going to participate in a pool/sweepstake, write your name</v>
      </c>
      <c r="E85" s="16" t="s">
        <v>220</v>
      </c>
      <c r="G85" s="16" t="s">
        <v>1421</v>
      </c>
      <c r="H85" s="16" t="s">
        <v>1434</v>
      </c>
    </row>
    <row r="86" spans="4:8" x14ac:dyDescent="0.2">
      <c r="D86" s="16" t="str">
        <f t="shared" si="3"/>
        <v>· If you are going to organize a pool, you can download the administration excel file from here</v>
      </c>
      <c r="E86" s="16" t="s">
        <v>220</v>
      </c>
      <c r="G86" s="16" t="s">
        <v>1422</v>
      </c>
      <c r="H86" s="16" t="s">
        <v>1433</v>
      </c>
    </row>
    <row r="87" spans="4:8" x14ac:dyDescent="0.2">
      <c r="D87" s="16" t="str">
        <f t="shared" si="3"/>
        <v>· Fill in the grey boxes with the group stage results for each group</v>
      </c>
      <c r="E87" s="16" t="s">
        <v>220</v>
      </c>
      <c r="G87" s="16" t="s">
        <v>1423</v>
      </c>
      <c r="H87" s="16" t="s">
        <v>1435</v>
      </c>
    </row>
    <row r="88" spans="4:8" x14ac:dyDescent="0.2">
      <c r="D88" s="16" t="str">
        <f t="shared" si="3"/>
        <v>· In case of a tie in the position of a group or in the best third-placed teams, you can select the order of the drawed nations</v>
      </c>
      <c r="E88" s="16" t="s">
        <v>220</v>
      </c>
      <c r="G88" s="16" t="s">
        <v>1424</v>
      </c>
      <c r="H88" s="16" t="s">
        <v>1436</v>
      </c>
    </row>
    <row r="89" spans="4:8" x14ac:dyDescent="0.2">
      <c r="D89" s="16" t="str">
        <f t="shared" si="3"/>
        <v>· Playoffs are set automatically</v>
      </c>
      <c r="E89" s="16" t="s">
        <v>220</v>
      </c>
      <c r="G89" s="16" t="s">
        <v>1425</v>
      </c>
      <c r="H89" s="16" t="s">
        <v>1437</v>
      </c>
    </row>
    <row r="90" spans="4:8" x14ac:dyDescent="0.2">
      <c r="D90" s="16" t="str">
        <f t="shared" si="3"/>
        <v>· Fill in the results of the knockout stages. In the event of a tie, two cells are opened on the sides to introduce the result of the penalties</v>
      </c>
      <c r="E90" s="16" t="s">
        <v>220</v>
      </c>
      <c r="G90" s="16" t="s">
        <v>1426</v>
      </c>
      <c r="H90" s="16" t="s">
        <v>1438</v>
      </c>
    </row>
    <row r="91" spans="4:8" x14ac:dyDescent="0.2">
      <c r="D91" s="16" t="str">
        <f t="shared" si="3"/>
        <v>· If you're going to participate in a pool/sweepstake, fill in the best players and top scorers</v>
      </c>
      <c r="E91" s="16" t="s">
        <v>220</v>
      </c>
      <c r="G91" s="16" t="s">
        <v>1427</v>
      </c>
      <c r="H91" s="16" t="s">
        <v>1439</v>
      </c>
    </row>
    <row r="92" spans="4:8" x14ac:dyDescent="0.2">
      <c r="D92" s="16" t="str">
        <f t="shared" si="3"/>
        <v>· This sheet is independent of the results entered in the WORLDCUP sheet and its use is optional</v>
      </c>
      <c r="E92" s="16" t="s">
        <v>220</v>
      </c>
      <c r="G92" s="16" t="s">
        <v>1428</v>
      </c>
      <c r="H92" s="16" t="s">
        <v>1440</v>
      </c>
    </row>
    <row r="93" spans="4:8" x14ac:dyDescent="0.2">
      <c r="D93" s="16" t="str">
        <f t="shared" si="3"/>
        <v>· The instructions for use of this sheet are on the same sheet</v>
      </c>
      <c r="E93" s="16" t="s">
        <v>220</v>
      </c>
      <c r="G93" s="16" t="s">
        <v>1429</v>
      </c>
      <c r="H93" s="16" t="s">
        <v>1441</v>
      </c>
    </row>
    <row r="94" spans="4:8" x14ac:dyDescent="0.2">
      <c r="D94" s="16" t="str">
        <f t="shared" si="3"/>
        <v>· On this sheet you don't have to write anything</v>
      </c>
      <c r="E94" s="16" t="s">
        <v>220</v>
      </c>
      <c r="G94" s="16" t="s">
        <v>1430</v>
      </c>
      <c r="H94" s="16" t="s">
        <v>1442</v>
      </c>
    </row>
    <row r="95" spans="4:8" x14ac:dyDescent="0.2">
      <c r="D95" s="16" t="str">
        <f t="shared" si="3"/>
        <v>· It is used for the organizer of the sweepstakes to copy these results and paste them into the administrator file</v>
      </c>
      <c r="E95" s="16" t="s">
        <v>220</v>
      </c>
      <c r="G95" s="16" t="s">
        <v>1431</v>
      </c>
      <c r="H95" s="16" t="s">
        <v>1443</v>
      </c>
    </row>
    <row r="96" spans="4:8" x14ac:dyDescent="0.2">
      <c r="D96" s="16" t="str">
        <f t="shared" si="3"/>
        <v>· This sheet shows a view of all the results entered in the WORLDCUP sheet, nothing is filled in on this sheet.</v>
      </c>
      <c r="E96" s="16" t="s">
        <v>220</v>
      </c>
      <c r="G96" s="16" t="s">
        <v>1450</v>
      </c>
      <c r="H96" s="16" t="s">
        <v>1444</v>
      </c>
    </row>
    <row r="102" spans="4:16" x14ac:dyDescent="0.2">
      <c r="D102" s="16" t="str">
        <f t="shared" ref="D102:D193" si="4">IF($B$2,G102,H102)</f>
        <v>For the administrator of the pool</v>
      </c>
      <c r="E102" s="16" t="s">
        <v>443</v>
      </c>
      <c r="F102" s="16" t="s">
        <v>116</v>
      </c>
      <c r="G102" s="16" t="s">
        <v>132</v>
      </c>
      <c r="H102" s="16" t="s">
        <v>278</v>
      </c>
    </row>
    <row r="103" spans="4:16" x14ac:dyDescent="0.2">
      <c r="D103" s="16" t="str">
        <f t="shared" si="4"/>
        <v>PLAYER</v>
      </c>
      <c r="E103" s="16" t="s">
        <v>443</v>
      </c>
      <c r="F103" s="16" t="s">
        <v>121</v>
      </c>
      <c r="G103" s="16" t="s">
        <v>72</v>
      </c>
      <c r="H103" s="16" t="s">
        <v>279</v>
      </c>
    </row>
    <row r="104" spans="4:16" x14ac:dyDescent="0.2">
      <c r="D104" s="16" t="str">
        <f t="shared" si="4"/>
        <v>Name</v>
      </c>
      <c r="E104" s="16" t="s">
        <v>443</v>
      </c>
      <c r="F104" s="16" t="s">
        <v>127</v>
      </c>
      <c r="G104" s="16" t="s">
        <v>44</v>
      </c>
      <c r="H104" s="16" t="s">
        <v>280</v>
      </c>
    </row>
    <row r="105" spans="4:16" x14ac:dyDescent="0.2">
      <c r="D105" s="16" t="str">
        <f t="shared" si="4"/>
        <v>PLAYER: DO NOT TOUCH, IT'S AUTOMATIC!</v>
      </c>
      <c r="E105" s="16" t="s">
        <v>443</v>
      </c>
      <c r="F105" s="16" t="s">
        <v>251</v>
      </c>
      <c r="G105" s="16" t="s">
        <v>45</v>
      </c>
      <c r="H105" s="16" t="s">
        <v>281</v>
      </c>
    </row>
    <row r="106" spans="4:16" ht="15" customHeight="1" x14ac:dyDescent="0.2">
      <c r="D106" s="16" t="str">
        <f t="shared" si="4"/>
        <v xml:space="preserve">THE POOL ADMINISTRATOR SHOULD FOLLOW THE INSTRUCTIONS BELOW				</v>
      </c>
      <c r="E106" s="16" t="s">
        <v>443</v>
      </c>
      <c r="F106" s="16" t="s">
        <v>118</v>
      </c>
      <c r="G106" s="16" t="s">
        <v>133</v>
      </c>
      <c r="H106" s="16" t="s">
        <v>282</v>
      </c>
      <c r="I106" s="607"/>
      <c r="K106" s="607"/>
      <c r="L106" s="607"/>
      <c r="M106" s="607"/>
      <c r="N106" s="607"/>
      <c r="O106" s="607"/>
      <c r="P106" s="607"/>
    </row>
    <row r="107" spans="4:16" ht="15" customHeight="1" x14ac:dyDescent="0.2">
      <c r="D107" s="16" t="str">
        <f t="shared" si="4"/>
        <v xml:space="preserve">·If you play the whole tournament at once de golpe select from C5 to C258 and paste in the Administrator template.			</v>
      </c>
      <c r="E107" s="16" t="s">
        <v>443</v>
      </c>
      <c r="F107" s="16" t="s">
        <v>130</v>
      </c>
      <c r="G107" s="608" t="s">
        <v>1514</v>
      </c>
      <c r="H107" s="16" t="s">
        <v>1411</v>
      </c>
      <c r="I107" s="607"/>
      <c r="K107" s="607"/>
      <c r="L107" s="607"/>
      <c r="M107" s="607"/>
      <c r="N107" s="607"/>
      <c r="O107" s="607"/>
      <c r="P107" s="607"/>
    </row>
    <row r="108" spans="4:16" x14ac:dyDescent="0.2">
      <c r="D108" s="16" t="str">
        <f t="shared" si="4"/>
        <v>·If you play the whole Group Stage at the begining and later the KO rounds select from C5 to C161 and paste in the Administrator template. Also copy and paste values form C253 to C258. For the round of 32 follow the instructions.</v>
      </c>
      <c r="E108" s="16" t="s">
        <v>443</v>
      </c>
      <c r="F108" s="16" t="s">
        <v>252</v>
      </c>
      <c r="G108" s="16" t="s">
        <v>1412</v>
      </c>
      <c r="H108" s="16" t="s">
        <v>1413</v>
      </c>
    </row>
    <row r="109" spans="4:16" ht="15" customHeight="1" x14ac:dyDescent="0.2">
      <c r="D109" s="16" t="str">
        <f t="shared" si="4"/>
        <v>·If you play by Rounds, follow de instuctions of every round.</v>
      </c>
      <c r="E109" s="16" t="s">
        <v>443</v>
      </c>
      <c r="F109" s="16" t="s">
        <v>253</v>
      </c>
      <c r="G109" s="16" t="s">
        <v>134</v>
      </c>
      <c r="H109" s="16" t="s">
        <v>283</v>
      </c>
      <c r="I109" s="609"/>
      <c r="K109" s="609"/>
      <c r="L109" s="609"/>
    </row>
    <row r="110" spans="4:16" x14ac:dyDescent="0.2">
      <c r="D110" s="16" t="str">
        <f t="shared" si="4"/>
        <v>·For the 1st Round copy from C5 to C29 an paste as values in the Administrator Pool. CAUTION. Also copy and paste values form C253 to C258.</v>
      </c>
      <c r="E110" s="16" t="s">
        <v>443</v>
      </c>
      <c r="F110" s="16" t="s">
        <v>254</v>
      </c>
      <c r="G110" s="16" t="s">
        <v>1414</v>
      </c>
      <c r="H110" s="16" t="s">
        <v>1415</v>
      </c>
    </row>
    <row r="111" spans="4:16" x14ac:dyDescent="0.2">
      <c r="D111" s="16" t="str">
        <f t="shared" si="4"/>
        <v>·For the 2nd Round copy from C30 to C53 an paste as values in the Administrator Pool.</v>
      </c>
      <c r="E111" s="16" t="s">
        <v>443</v>
      </c>
      <c r="F111" s="16" t="s">
        <v>255</v>
      </c>
      <c r="G111" s="16" t="s">
        <v>1359</v>
      </c>
      <c r="H111" s="16" t="s">
        <v>1361</v>
      </c>
    </row>
    <row r="112" spans="4:16" x14ac:dyDescent="0.2">
      <c r="D112" s="16" t="str">
        <f t="shared" si="4"/>
        <v>·For the 3rd Round copy from C54 to C161 an paste as values in the Administrator Pool.</v>
      </c>
      <c r="E112" s="16" t="s">
        <v>443</v>
      </c>
      <c r="F112" s="16" t="s">
        <v>256</v>
      </c>
      <c r="G112" s="16" t="s">
        <v>1360</v>
      </c>
      <c r="H112" s="16" t="s">
        <v>1362</v>
      </c>
    </row>
    <row r="113" spans="4:9" x14ac:dyDescent="0.2">
      <c r="D113" s="16" t="str">
        <f t="shared" si="4"/>
        <v>·If you play the KO rounds at once copy from C164 to C252 and paste in the Administrator template.</v>
      </c>
      <c r="E113" s="16" t="s">
        <v>443</v>
      </c>
      <c r="F113" s="16" t="s">
        <v>257</v>
      </c>
      <c r="G113" s="16" t="s">
        <v>588</v>
      </c>
      <c r="H113" s="16" t="s">
        <v>1363</v>
      </c>
    </row>
    <row r="114" spans="4:9" x14ac:dyDescent="0.2">
      <c r="D114" s="16" t="str">
        <f t="shared" si="4"/>
        <v>·If you play de KO phase, round by round, follow the instructions of every KO round.</v>
      </c>
      <c r="E114" s="16" t="s">
        <v>443</v>
      </c>
      <c r="F114" s="16" t="s">
        <v>258</v>
      </c>
      <c r="G114" s="16" t="s">
        <v>135</v>
      </c>
      <c r="H114" s="16" t="s">
        <v>284</v>
      </c>
    </row>
    <row r="115" spans="4:9" x14ac:dyDescent="0.2">
      <c r="D115" s="16" t="str">
        <f t="shared" si="4"/>
        <v>·For de round of 32 matches, copy from C164 to C197 and paste in the administrator template in "Paste Values Round of 32"</v>
      </c>
      <c r="E115" s="16" t="s">
        <v>443</v>
      </c>
      <c r="F115" s="16" t="s">
        <v>259</v>
      </c>
      <c r="G115" s="16" t="s">
        <v>1364</v>
      </c>
      <c r="H115" s="16" t="s">
        <v>583</v>
      </c>
    </row>
    <row r="116" spans="4:9" x14ac:dyDescent="0.2">
      <c r="D116" s="16" t="str">
        <f t="shared" si="4"/>
        <v>·For the round of 16 matches, copy from C200 to C217 and paste in the administrator template in "Paste Values Round of 16"</v>
      </c>
      <c r="E116" s="16" t="s">
        <v>443</v>
      </c>
      <c r="F116" s="16" t="s">
        <v>260</v>
      </c>
      <c r="G116" s="16" t="s">
        <v>1365</v>
      </c>
      <c r="H116" s="16" t="s">
        <v>585</v>
      </c>
    </row>
    <row r="117" spans="4:9" x14ac:dyDescent="0.2">
      <c r="D117" s="16" t="str">
        <f t="shared" si="4"/>
        <v>·For the round of Quarterfinals matches, copy from C220 to C229 and paste in the administrator template in "Paste Values Quarterfinals"</v>
      </c>
      <c r="E117" s="16" t="s">
        <v>443</v>
      </c>
      <c r="G117" s="16" t="s">
        <v>1366</v>
      </c>
      <c r="H117" s="16" t="s">
        <v>584</v>
      </c>
    </row>
    <row r="118" spans="4:9" x14ac:dyDescent="0.2">
      <c r="D118" s="16" t="str">
        <f t="shared" si="4"/>
        <v>·For the round of Semi-Finals matches, copy from C232 to C241 and paste in the administrator template in "Paste Values Semifinals"</v>
      </c>
      <c r="E118" s="16" t="s">
        <v>443</v>
      </c>
      <c r="F118" s="16" t="s">
        <v>261</v>
      </c>
      <c r="G118" s="16" t="s">
        <v>1367</v>
      </c>
      <c r="H118" s="16" t="s">
        <v>586</v>
      </c>
    </row>
    <row r="119" spans="4:9" x14ac:dyDescent="0.2">
      <c r="D119" s="16" t="str">
        <f t="shared" si="4"/>
        <v>·For the Final and 3-4 place matches, copy from C244 to C252 and paste in the administrator template in "Paste Values Final"</v>
      </c>
      <c r="E119" s="16" t="s">
        <v>443</v>
      </c>
      <c r="F119" s="16" t="s">
        <v>262</v>
      </c>
      <c r="G119" s="16" t="s">
        <v>1368</v>
      </c>
      <c r="H119" s="16" t="s">
        <v>587</v>
      </c>
    </row>
    <row r="120" spans="4:9" x14ac:dyDescent="0.2">
      <c r="D120" s="16" t="str">
        <f t="shared" si="4"/>
        <v>·At the beginning of the competition, if it is done in phases, copy from C253 to C258 and paste it at the end of the player in the administrator file.</v>
      </c>
      <c r="E120" s="16" t="s">
        <v>443</v>
      </c>
      <c r="F120" s="16" t="s">
        <v>263</v>
      </c>
      <c r="G120" s="16" t="s">
        <v>1416</v>
      </c>
      <c r="H120" s="16" t="s">
        <v>1417</v>
      </c>
    </row>
    <row r="121" spans="4:9" x14ac:dyDescent="0.2">
      <c r="D121" s="16" t="str">
        <f t="shared" si="4"/>
        <v>·Copy from C261 to C258 and paste it in the administrator template in "Paste Values Predictor"</v>
      </c>
      <c r="E121" s="16" t="s">
        <v>443</v>
      </c>
      <c r="G121" s="582" t="s">
        <v>1418</v>
      </c>
      <c r="H121" s="582" t="s">
        <v>1419</v>
      </c>
    </row>
    <row r="122" spans="4:9" x14ac:dyDescent="0.2">
      <c r="D122" s="16" t="str">
        <f t="shared" si="4"/>
        <v>R1</v>
      </c>
      <c r="E122" s="16" t="s">
        <v>443</v>
      </c>
      <c r="F122" s="16" t="s">
        <v>264</v>
      </c>
      <c r="G122" s="16" t="s">
        <v>28</v>
      </c>
      <c r="H122" s="16" t="s">
        <v>285</v>
      </c>
      <c r="I122" s="582"/>
    </row>
    <row r="123" spans="4:9" x14ac:dyDescent="0.2">
      <c r="D123" s="16" t="str">
        <f t="shared" si="4"/>
        <v>R2</v>
      </c>
      <c r="E123" s="16" t="s">
        <v>443</v>
      </c>
      <c r="F123" s="16" t="s">
        <v>265</v>
      </c>
      <c r="G123" s="16" t="s">
        <v>29</v>
      </c>
      <c r="H123" s="16" t="s">
        <v>286</v>
      </c>
    </row>
    <row r="124" spans="4:9" x14ac:dyDescent="0.2">
      <c r="D124" s="16" t="str">
        <f t="shared" si="4"/>
        <v>R3</v>
      </c>
      <c r="E124" s="16" t="s">
        <v>443</v>
      </c>
      <c r="F124" s="16" t="s">
        <v>266</v>
      </c>
      <c r="G124" s="16" t="s">
        <v>30</v>
      </c>
      <c r="H124" s="16" t="s">
        <v>287</v>
      </c>
    </row>
    <row r="125" spans="4:9" x14ac:dyDescent="0.2">
      <c r="D125" s="16" t="str">
        <f t="shared" si="4"/>
        <v>GROUP STAGE</v>
      </c>
      <c r="E125" s="16" t="s">
        <v>443</v>
      </c>
      <c r="F125" s="16" t="s">
        <v>267</v>
      </c>
      <c r="G125" s="16" t="s">
        <v>12</v>
      </c>
      <c r="H125" s="16" t="s">
        <v>288</v>
      </c>
    </row>
    <row r="126" spans="4:9" x14ac:dyDescent="0.2">
      <c r="D126" s="16" t="str">
        <f t="shared" si="4"/>
        <v>GROUP POSITION</v>
      </c>
      <c r="E126" s="16" t="s">
        <v>443</v>
      </c>
      <c r="F126" s="16" t="s">
        <v>268</v>
      </c>
      <c r="G126" s="16" t="s">
        <v>46</v>
      </c>
      <c r="H126" s="16" t="s">
        <v>289</v>
      </c>
    </row>
    <row r="127" spans="4:9" x14ac:dyDescent="0.2">
      <c r="D127" s="16" t="str">
        <f t="shared" si="4"/>
        <v>QUALIFIED FOR ROUND OF 32</v>
      </c>
      <c r="E127" s="16" t="s">
        <v>443</v>
      </c>
      <c r="F127" s="16" t="s">
        <v>269</v>
      </c>
      <c r="G127" s="16" t="s">
        <v>574</v>
      </c>
      <c r="H127" s="16" t="s">
        <v>575</v>
      </c>
    </row>
    <row r="128" spans="4:9" x14ac:dyDescent="0.2">
      <c r="D128" s="16" t="str">
        <f t="shared" si="4"/>
        <v>ROUND OF 32</v>
      </c>
      <c r="E128" s="16" t="s">
        <v>443</v>
      </c>
      <c r="F128" s="16" t="s">
        <v>270</v>
      </c>
      <c r="G128" s="16" t="s">
        <v>578</v>
      </c>
      <c r="H128" s="16" t="s">
        <v>579</v>
      </c>
    </row>
    <row r="129" spans="4:8" x14ac:dyDescent="0.2">
      <c r="D129" s="16" t="str">
        <f t="shared" si="4"/>
        <v>QUALIFIED FOR ROUND OF 16</v>
      </c>
      <c r="E129" s="16" t="s">
        <v>443</v>
      </c>
      <c r="G129" s="16" t="s">
        <v>109</v>
      </c>
      <c r="H129" s="16" t="s">
        <v>290</v>
      </c>
    </row>
    <row r="130" spans="4:8" x14ac:dyDescent="0.2">
      <c r="D130" s="16" t="str">
        <f t="shared" si="4"/>
        <v>ROUND OF 16</v>
      </c>
      <c r="E130" s="16" t="s">
        <v>443</v>
      </c>
      <c r="G130" s="16" t="s">
        <v>110</v>
      </c>
      <c r="H130" s="16" t="s">
        <v>291</v>
      </c>
    </row>
    <row r="131" spans="4:8" x14ac:dyDescent="0.2">
      <c r="D131" s="16" t="str">
        <f t="shared" si="4"/>
        <v>QUARTER-FINALISTS</v>
      </c>
      <c r="E131" s="16" t="s">
        <v>443</v>
      </c>
      <c r="F131" s="16" t="s">
        <v>271</v>
      </c>
      <c r="G131" s="16" t="s">
        <v>59</v>
      </c>
      <c r="H131" s="16" t="s">
        <v>292</v>
      </c>
    </row>
    <row r="132" spans="4:8" x14ac:dyDescent="0.2">
      <c r="D132" s="16" t="str">
        <f t="shared" si="4"/>
        <v>QUARTERFINALS</v>
      </c>
      <c r="E132" s="16" t="s">
        <v>443</v>
      </c>
      <c r="F132" s="16" t="s">
        <v>273</v>
      </c>
      <c r="G132" s="16" t="s">
        <v>61</v>
      </c>
      <c r="H132" s="16" t="s">
        <v>293</v>
      </c>
    </row>
    <row r="133" spans="4:8" x14ac:dyDescent="0.2">
      <c r="D133" s="16" t="str">
        <f t="shared" si="4"/>
        <v>QUALIFIED FOR SEMIFINALS</v>
      </c>
      <c r="E133" s="16" t="s">
        <v>443</v>
      </c>
      <c r="F133" s="16" t="s">
        <v>272</v>
      </c>
      <c r="G133" s="16" t="s">
        <v>62</v>
      </c>
      <c r="H133" s="16" t="s">
        <v>294</v>
      </c>
    </row>
    <row r="134" spans="4:8" x14ac:dyDescent="0.2">
      <c r="D134" s="16" t="str">
        <f t="shared" si="4"/>
        <v>SEMIFINALS</v>
      </c>
      <c r="E134" s="16" t="s">
        <v>443</v>
      </c>
      <c r="F134" s="16" t="s">
        <v>274</v>
      </c>
      <c r="G134" s="16" t="s">
        <v>64</v>
      </c>
      <c r="H134" s="16" t="s">
        <v>295</v>
      </c>
    </row>
    <row r="135" spans="4:8" x14ac:dyDescent="0.2">
      <c r="D135" s="16" t="str">
        <f t="shared" si="4"/>
        <v>QUALIFIED FOR 3rd-4th PLACE</v>
      </c>
      <c r="E135" s="16" t="s">
        <v>443</v>
      </c>
      <c r="G135" s="16" t="s">
        <v>580</v>
      </c>
      <c r="H135" s="16" t="s">
        <v>581</v>
      </c>
    </row>
    <row r="136" spans="4:8" x14ac:dyDescent="0.2">
      <c r="D136" s="16" t="str">
        <f t="shared" si="4"/>
        <v>QUALIFIED FOR THE FINAL</v>
      </c>
      <c r="E136" s="16" t="s">
        <v>443</v>
      </c>
      <c r="F136" s="16" t="s">
        <v>275</v>
      </c>
      <c r="G136" s="16" t="s">
        <v>65</v>
      </c>
      <c r="H136" s="16" t="s">
        <v>296</v>
      </c>
    </row>
    <row r="137" spans="4:8" x14ac:dyDescent="0.2">
      <c r="D137" s="16" t="str">
        <f t="shared" si="4"/>
        <v>3rd-4th place</v>
      </c>
      <c r="E137" s="16" t="s">
        <v>443</v>
      </c>
      <c r="G137" s="16" t="s">
        <v>506</v>
      </c>
      <c r="H137" s="16" t="s">
        <v>502</v>
      </c>
    </row>
    <row r="138" spans="4:8" x14ac:dyDescent="0.2">
      <c r="D138" s="16" t="str">
        <f t="shared" si="4"/>
        <v>FINAL</v>
      </c>
      <c r="E138" s="16" t="s">
        <v>443</v>
      </c>
      <c r="F138" s="16" t="s">
        <v>276</v>
      </c>
      <c r="G138" s="16" t="s">
        <v>67</v>
      </c>
      <c r="H138" s="16" t="s">
        <v>297</v>
      </c>
    </row>
    <row r="139" spans="4:8" x14ac:dyDescent="0.2">
      <c r="D139" s="16" t="str">
        <f t="shared" si="4"/>
        <v>HONOR BOX</v>
      </c>
      <c r="E139" s="16" t="s">
        <v>443</v>
      </c>
      <c r="F139" s="16" t="s">
        <v>277</v>
      </c>
      <c r="G139" s="16" t="s">
        <v>21</v>
      </c>
      <c r="H139" s="16" t="s">
        <v>228</v>
      </c>
    </row>
    <row r="140" spans="4:8" x14ac:dyDescent="0.2">
      <c r="D140" s="16" t="str">
        <f t="shared" ref="D140:D163" si="5">IF($B$2,G140,H140)</f>
        <v>1st GROUP A</v>
      </c>
      <c r="E140" s="16" t="s">
        <v>443</v>
      </c>
      <c r="F140" s="16" t="s">
        <v>415</v>
      </c>
      <c r="G140" s="16" t="s">
        <v>47</v>
      </c>
      <c r="H140" s="9" t="s">
        <v>387</v>
      </c>
    </row>
    <row r="141" spans="4:8" x14ac:dyDescent="0.2">
      <c r="D141" s="16" t="str">
        <f t="shared" si="5"/>
        <v>2nd GROUP A</v>
      </c>
      <c r="E141" s="16" t="s">
        <v>443</v>
      </c>
      <c r="F141" s="16" t="s">
        <v>416</v>
      </c>
      <c r="G141" s="16" t="s">
        <v>48</v>
      </c>
      <c r="H141" s="9" t="s">
        <v>388</v>
      </c>
    </row>
    <row r="142" spans="4:8" x14ac:dyDescent="0.2">
      <c r="D142" s="16" t="str">
        <f t="shared" si="5"/>
        <v>3rd GROUP A</v>
      </c>
      <c r="E142" s="16" t="s">
        <v>443</v>
      </c>
      <c r="F142" s="16" t="s">
        <v>417</v>
      </c>
      <c r="G142" s="16" t="s">
        <v>49</v>
      </c>
      <c r="H142" s="9" t="s">
        <v>389</v>
      </c>
    </row>
    <row r="143" spans="4:8" x14ac:dyDescent="0.2">
      <c r="D143" s="16" t="str">
        <f t="shared" si="5"/>
        <v>4th GROUP A</v>
      </c>
      <c r="E143" s="16" t="s">
        <v>443</v>
      </c>
      <c r="F143" s="16" t="s">
        <v>418</v>
      </c>
      <c r="G143" s="16" t="s">
        <v>50</v>
      </c>
      <c r="H143" s="9" t="s">
        <v>390</v>
      </c>
    </row>
    <row r="144" spans="4:8" x14ac:dyDescent="0.2">
      <c r="D144" s="16" t="str">
        <f t="shared" si="5"/>
        <v>1st GROUP B</v>
      </c>
      <c r="E144" s="16" t="s">
        <v>443</v>
      </c>
      <c r="F144" s="16" t="s">
        <v>419</v>
      </c>
      <c r="G144" s="16" t="s">
        <v>51</v>
      </c>
      <c r="H144" s="9" t="s">
        <v>391</v>
      </c>
    </row>
    <row r="145" spans="4:8" x14ac:dyDescent="0.2">
      <c r="D145" s="16" t="str">
        <f t="shared" si="5"/>
        <v>2nd GROUP B</v>
      </c>
      <c r="E145" s="16" t="s">
        <v>443</v>
      </c>
      <c r="F145" s="16" t="s">
        <v>420</v>
      </c>
      <c r="G145" s="16" t="s">
        <v>52</v>
      </c>
      <c r="H145" s="9" t="s">
        <v>392</v>
      </c>
    </row>
    <row r="146" spans="4:8" x14ac:dyDescent="0.2">
      <c r="D146" s="16" t="str">
        <f t="shared" si="5"/>
        <v>3rd GROUP B</v>
      </c>
      <c r="E146" s="16" t="s">
        <v>443</v>
      </c>
      <c r="F146" s="16" t="s">
        <v>421</v>
      </c>
      <c r="G146" s="16" t="s">
        <v>53</v>
      </c>
      <c r="H146" s="9" t="s">
        <v>393</v>
      </c>
    </row>
    <row r="147" spans="4:8" x14ac:dyDescent="0.2">
      <c r="D147" s="16" t="str">
        <f t="shared" si="5"/>
        <v>4th GROUP B</v>
      </c>
      <c r="E147" s="16" t="s">
        <v>443</v>
      </c>
      <c r="F147" s="16" t="s">
        <v>422</v>
      </c>
      <c r="G147" s="16" t="s">
        <v>54</v>
      </c>
      <c r="H147" s="9" t="s">
        <v>394</v>
      </c>
    </row>
    <row r="148" spans="4:8" x14ac:dyDescent="0.2">
      <c r="D148" s="16" t="str">
        <f t="shared" si="5"/>
        <v>1st GROUP C</v>
      </c>
      <c r="E148" s="16" t="s">
        <v>443</v>
      </c>
      <c r="F148" s="16" t="s">
        <v>423</v>
      </c>
      <c r="G148" s="16" t="s">
        <v>55</v>
      </c>
      <c r="H148" s="9" t="s">
        <v>395</v>
      </c>
    </row>
    <row r="149" spans="4:8" x14ac:dyDescent="0.2">
      <c r="D149" s="16" t="str">
        <f t="shared" si="5"/>
        <v>2nd GROUP C</v>
      </c>
      <c r="E149" s="16" t="s">
        <v>443</v>
      </c>
      <c r="F149" s="16" t="s">
        <v>424</v>
      </c>
      <c r="G149" s="16" t="s">
        <v>56</v>
      </c>
      <c r="H149" s="9" t="s">
        <v>396</v>
      </c>
    </row>
    <row r="150" spans="4:8" x14ac:dyDescent="0.2">
      <c r="D150" s="16" t="str">
        <f t="shared" si="5"/>
        <v>3rd GROUP C</v>
      </c>
      <c r="E150" s="16" t="s">
        <v>443</v>
      </c>
      <c r="F150" s="16" t="s">
        <v>425</v>
      </c>
      <c r="G150" s="16" t="s">
        <v>57</v>
      </c>
      <c r="H150" s="9" t="s">
        <v>397</v>
      </c>
    </row>
    <row r="151" spans="4:8" x14ac:dyDescent="0.2">
      <c r="D151" s="16" t="str">
        <f t="shared" si="5"/>
        <v>4th GROUP C</v>
      </c>
      <c r="E151" s="16" t="s">
        <v>443</v>
      </c>
      <c r="F151" s="16" t="s">
        <v>426</v>
      </c>
      <c r="G151" s="16" t="s">
        <v>58</v>
      </c>
      <c r="H151" s="9" t="s">
        <v>398</v>
      </c>
    </row>
    <row r="152" spans="4:8" x14ac:dyDescent="0.2">
      <c r="D152" s="16" t="str">
        <f t="shared" si="5"/>
        <v>1st GROUP D</v>
      </c>
      <c r="E152" s="16" t="s">
        <v>443</v>
      </c>
      <c r="F152" s="16" t="s">
        <v>427</v>
      </c>
      <c r="G152" s="16" t="s">
        <v>97</v>
      </c>
      <c r="H152" s="9" t="s">
        <v>399</v>
      </c>
    </row>
    <row r="153" spans="4:8" x14ac:dyDescent="0.2">
      <c r="D153" s="16" t="str">
        <f t="shared" si="5"/>
        <v>2nd GROUP D</v>
      </c>
      <c r="E153" s="16" t="s">
        <v>443</v>
      </c>
      <c r="F153" s="16" t="s">
        <v>428</v>
      </c>
      <c r="G153" s="16" t="s">
        <v>98</v>
      </c>
      <c r="H153" s="9" t="s">
        <v>400</v>
      </c>
    </row>
    <row r="154" spans="4:8" x14ac:dyDescent="0.2">
      <c r="D154" s="16" t="str">
        <f t="shared" si="5"/>
        <v>3rd GROUP D</v>
      </c>
      <c r="E154" s="16" t="s">
        <v>443</v>
      </c>
      <c r="F154" s="16" t="s">
        <v>429</v>
      </c>
      <c r="G154" s="16" t="s">
        <v>99</v>
      </c>
      <c r="H154" s="9" t="s">
        <v>401</v>
      </c>
    </row>
    <row r="155" spans="4:8" x14ac:dyDescent="0.2">
      <c r="D155" s="16" t="str">
        <f t="shared" si="5"/>
        <v>4th GROUP D</v>
      </c>
      <c r="E155" s="16" t="s">
        <v>443</v>
      </c>
      <c r="F155" s="16" t="s">
        <v>430</v>
      </c>
      <c r="G155" s="16" t="s">
        <v>100</v>
      </c>
      <c r="H155" s="9" t="s">
        <v>402</v>
      </c>
    </row>
    <row r="156" spans="4:8" x14ac:dyDescent="0.2">
      <c r="D156" s="16" t="str">
        <f t="shared" si="5"/>
        <v>1st GROUP E</v>
      </c>
      <c r="E156" s="16" t="s">
        <v>443</v>
      </c>
      <c r="F156" s="16" t="s">
        <v>431</v>
      </c>
      <c r="G156" s="16" t="s">
        <v>101</v>
      </c>
      <c r="H156" s="9" t="s">
        <v>403</v>
      </c>
    </row>
    <row r="157" spans="4:8" x14ac:dyDescent="0.2">
      <c r="D157" s="16" t="str">
        <f t="shared" si="5"/>
        <v>2nd GROUP E</v>
      </c>
      <c r="E157" s="16" t="s">
        <v>443</v>
      </c>
      <c r="F157" s="16" t="s">
        <v>432</v>
      </c>
      <c r="G157" s="16" t="s">
        <v>102</v>
      </c>
      <c r="H157" s="9" t="s">
        <v>404</v>
      </c>
    </row>
    <row r="158" spans="4:8" x14ac:dyDescent="0.2">
      <c r="D158" s="16" t="str">
        <f t="shared" si="5"/>
        <v>3rd GROUP E</v>
      </c>
      <c r="E158" s="16" t="s">
        <v>443</v>
      </c>
      <c r="F158" s="16" t="s">
        <v>433</v>
      </c>
      <c r="G158" s="16" t="s">
        <v>103</v>
      </c>
      <c r="H158" s="9" t="s">
        <v>405</v>
      </c>
    </row>
    <row r="159" spans="4:8" x14ac:dyDescent="0.2">
      <c r="D159" s="16" t="str">
        <f t="shared" si="5"/>
        <v>4th GROUP E</v>
      </c>
      <c r="E159" s="16" t="s">
        <v>443</v>
      </c>
      <c r="F159" s="16" t="s">
        <v>434</v>
      </c>
      <c r="G159" s="16" t="s">
        <v>104</v>
      </c>
      <c r="H159" s="9" t="s">
        <v>406</v>
      </c>
    </row>
    <row r="160" spans="4:8" x14ac:dyDescent="0.2">
      <c r="D160" s="16" t="str">
        <f t="shared" si="5"/>
        <v>1st GROUP F</v>
      </c>
      <c r="E160" s="16" t="s">
        <v>443</v>
      </c>
      <c r="F160" s="16" t="s">
        <v>435</v>
      </c>
      <c r="G160" s="16" t="s">
        <v>105</v>
      </c>
      <c r="H160" s="9" t="s">
        <v>407</v>
      </c>
    </row>
    <row r="161" spans="4:8" x14ac:dyDescent="0.2">
      <c r="D161" s="16" t="str">
        <f t="shared" si="5"/>
        <v>2nd GROUP F</v>
      </c>
      <c r="E161" s="16" t="s">
        <v>443</v>
      </c>
      <c r="F161" s="16" t="s">
        <v>436</v>
      </c>
      <c r="G161" s="16" t="s">
        <v>106</v>
      </c>
      <c r="H161" s="9" t="s">
        <v>408</v>
      </c>
    </row>
    <row r="162" spans="4:8" x14ac:dyDescent="0.2">
      <c r="D162" s="16" t="str">
        <f t="shared" si="5"/>
        <v>3rd GROUP F</v>
      </c>
      <c r="E162" s="16" t="s">
        <v>443</v>
      </c>
      <c r="F162" s="16" t="s">
        <v>437</v>
      </c>
      <c r="G162" s="16" t="s">
        <v>107</v>
      </c>
      <c r="H162" s="9" t="s">
        <v>409</v>
      </c>
    </row>
    <row r="163" spans="4:8" x14ac:dyDescent="0.2">
      <c r="D163" s="16" t="str">
        <f t="shared" si="5"/>
        <v>4th GROUP F</v>
      </c>
      <c r="E163" s="16" t="s">
        <v>443</v>
      </c>
      <c r="F163" s="16" t="s">
        <v>438</v>
      </c>
      <c r="G163" s="16" t="s">
        <v>108</v>
      </c>
      <c r="H163" s="9" t="s">
        <v>410</v>
      </c>
    </row>
    <row r="164" spans="4:8" x14ac:dyDescent="0.2">
      <c r="D164" s="16" t="str">
        <f t="shared" ref="D164:D187" si="6">IF($B$2,G164,H164)</f>
        <v>1st GROUP G</v>
      </c>
      <c r="E164" s="16" t="s">
        <v>443</v>
      </c>
      <c r="G164" s="16" t="s">
        <v>526</v>
      </c>
      <c r="H164" s="9" t="s">
        <v>530</v>
      </c>
    </row>
    <row r="165" spans="4:8" x14ac:dyDescent="0.2">
      <c r="D165" s="16" t="str">
        <f t="shared" si="6"/>
        <v>2nd GROUP G</v>
      </c>
      <c r="E165" s="16" t="s">
        <v>443</v>
      </c>
      <c r="G165" s="16" t="s">
        <v>527</v>
      </c>
      <c r="H165" s="9" t="s">
        <v>531</v>
      </c>
    </row>
    <row r="166" spans="4:8" x14ac:dyDescent="0.2">
      <c r="D166" s="16" t="str">
        <f t="shared" si="6"/>
        <v>3rd GROUP G</v>
      </c>
      <c r="E166" s="16" t="s">
        <v>443</v>
      </c>
      <c r="G166" s="16" t="s">
        <v>528</v>
      </c>
      <c r="H166" s="9" t="s">
        <v>532</v>
      </c>
    </row>
    <row r="167" spans="4:8" x14ac:dyDescent="0.2">
      <c r="D167" s="16" t="str">
        <f t="shared" si="6"/>
        <v>4th GROUP G</v>
      </c>
      <c r="E167" s="16" t="s">
        <v>443</v>
      </c>
      <c r="G167" s="16" t="s">
        <v>529</v>
      </c>
      <c r="H167" s="9" t="s">
        <v>533</v>
      </c>
    </row>
    <row r="168" spans="4:8" x14ac:dyDescent="0.2">
      <c r="D168" s="16" t="str">
        <f t="shared" si="6"/>
        <v>1st GROUP H</v>
      </c>
      <c r="E168" s="16" t="s">
        <v>443</v>
      </c>
      <c r="G168" s="16" t="s">
        <v>534</v>
      </c>
      <c r="H168" s="9" t="s">
        <v>538</v>
      </c>
    </row>
    <row r="169" spans="4:8" x14ac:dyDescent="0.2">
      <c r="D169" s="16" t="str">
        <f t="shared" si="6"/>
        <v>2nd GROUP H</v>
      </c>
      <c r="E169" s="16" t="s">
        <v>443</v>
      </c>
      <c r="G169" s="16" t="s">
        <v>535</v>
      </c>
      <c r="H169" s="9" t="s">
        <v>539</v>
      </c>
    </row>
    <row r="170" spans="4:8" x14ac:dyDescent="0.2">
      <c r="D170" s="16" t="str">
        <f t="shared" si="6"/>
        <v>3rd GROUP H</v>
      </c>
      <c r="E170" s="16" t="s">
        <v>443</v>
      </c>
      <c r="G170" s="16" t="s">
        <v>536</v>
      </c>
      <c r="H170" s="9" t="s">
        <v>540</v>
      </c>
    </row>
    <row r="171" spans="4:8" x14ac:dyDescent="0.2">
      <c r="D171" s="16" t="str">
        <f t="shared" si="6"/>
        <v>4th GROUP H</v>
      </c>
      <c r="E171" s="16" t="s">
        <v>443</v>
      </c>
      <c r="G171" s="16" t="s">
        <v>537</v>
      </c>
      <c r="H171" s="9" t="s">
        <v>541</v>
      </c>
    </row>
    <row r="172" spans="4:8" x14ac:dyDescent="0.2">
      <c r="D172" s="16" t="str">
        <f t="shared" si="6"/>
        <v>1st GROUP I</v>
      </c>
      <c r="E172" s="16" t="s">
        <v>443</v>
      </c>
      <c r="G172" s="16" t="s">
        <v>542</v>
      </c>
      <c r="H172" s="9" t="s">
        <v>546</v>
      </c>
    </row>
    <row r="173" spans="4:8" x14ac:dyDescent="0.2">
      <c r="D173" s="16" t="str">
        <f t="shared" si="6"/>
        <v>2nd GROUP I</v>
      </c>
      <c r="E173" s="16" t="s">
        <v>443</v>
      </c>
      <c r="G173" s="16" t="s">
        <v>543</v>
      </c>
      <c r="H173" s="9" t="s">
        <v>547</v>
      </c>
    </row>
    <row r="174" spans="4:8" x14ac:dyDescent="0.2">
      <c r="D174" s="16" t="str">
        <f t="shared" si="6"/>
        <v>3rd GROUP I</v>
      </c>
      <c r="E174" s="16" t="s">
        <v>443</v>
      </c>
      <c r="G174" s="16" t="s">
        <v>544</v>
      </c>
      <c r="H174" s="9" t="s">
        <v>548</v>
      </c>
    </row>
    <row r="175" spans="4:8" x14ac:dyDescent="0.2">
      <c r="D175" s="16" t="str">
        <f t="shared" si="6"/>
        <v>4th GROUP I</v>
      </c>
      <c r="E175" s="16" t="s">
        <v>443</v>
      </c>
      <c r="G175" s="16" t="s">
        <v>545</v>
      </c>
      <c r="H175" s="9" t="s">
        <v>549</v>
      </c>
    </row>
    <row r="176" spans="4:8" x14ac:dyDescent="0.2">
      <c r="D176" s="16" t="str">
        <f t="shared" si="6"/>
        <v>1st GROUP J</v>
      </c>
      <c r="E176" s="16" t="s">
        <v>443</v>
      </c>
      <c r="G176" s="16" t="s">
        <v>550</v>
      </c>
      <c r="H176" s="9" t="s">
        <v>554</v>
      </c>
    </row>
    <row r="177" spans="4:8" x14ac:dyDescent="0.2">
      <c r="D177" s="16" t="str">
        <f t="shared" si="6"/>
        <v>2nd GROUP J</v>
      </c>
      <c r="E177" s="16" t="s">
        <v>443</v>
      </c>
      <c r="G177" s="16" t="s">
        <v>551</v>
      </c>
      <c r="H177" s="9" t="s">
        <v>555</v>
      </c>
    </row>
    <row r="178" spans="4:8" x14ac:dyDescent="0.2">
      <c r="D178" s="16" t="str">
        <f t="shared" si="6"/>
        <v>3rd GROUP J</v>
      </c>
      <c r="E178" s="16" t="s">
        <v>443</v>
      </c>
      <c r="G178" s="16" t="s">
        <v>552</v>
      </c>
      <c r="H178" s="9" t="s">
        <v>556</v>
      </c>
    </row>
    <row r="179" spans="4:8" x14ac:dyDescent="0.2">
      <c r="D179" s="16" t="str">
        <f t="shared" si="6"/>
        <v>4th GROUP J</v>
      </c>
      <c r="E179" s="16" t="s">
        <v>443</v>
      </c>
      <c r="G179" s="16" t="s">
        <v>553</v>
      </c>
      <c r="H179" s="9" t="s">
        <v>557</v>
      </c>
    </row>
    <row r="180" spans="4:8" x14ac:dyDescent="0.2">
      <c r="D180" s="16" t="str">
        <f t="shared" si="6"/>
        <v>1st GROUP K</v>
      </c>
      <c r="E180" s="16" t="s">
        <v>443</v>
      </c>
      <c r="G180" s="16" t="s">
        <v>558</v>
      </c>
      <c r="H180" s="9" t="s">
        <v>562</v>
      </c>
    </row>
    <row r="181" spans="4:8" x14ac:dyDescent="0.2">
      <c r="D181" s="16" t="str">
        <f t="shared" si="6"/>
        <v>2nd GROUP K</v>
      </c>
      <c r="E181" s="16" t="s">
        <v>443</v>
      </c>
      <c r="G181" s="16" t="s">
        <v>559</v>
      </c>
      <c r="H181" s="9" t="s">
        <v>563</v>
      </c>
    </row>
    <row r="182" spans="4:8" x14ac:dyDescent="0.2">
      <c r="D182" s="16" t="str">
        <f t="shared" si="6"/>
        <v>3rd GROUP K</v>
      </c>
      <c r="E182" s="16" t="s">
        <v>443</v>
      </c>
      <c r="G182" s="16" t="s">
        <v>560</v>
      </c>
      <c r="H182" s="9" t="s">
        <v>564</v>
      </c>
    </row>
    <row r="183" spans="4:8" x14ac:dyDescent="0.2">
      <c r="D183" s="16" t="str">
        <f t="shared" si="6"/>
        <v>4th GROUP K</v>
      </c>
      <c r="E183" s="16" t="s">
        <v>443</v>
      </c>
      <c r="G183" s="16" t="s">
        <v>561</v>
      </c>
      <c r="H183" s="9" t="s">
        <v>565</v>
      </c>
    </row>
    <row r="184" spans="4:8" x14ac:dyDescent="0.2">
      <c r="D184" s="16" t="str">
        <f t="shared" si="6"/>
        <v>1st GROUP L</v>
      </c>
      <c r="E184" s="16" t="s">
        <v>443</v>
      </c>
      <c r="G184" s="16" t="s">
        <v>566</v>
      </c>
      <c r="H184" s="9" t="s">
        <v>570</v>
      </c>
    </row>
    <row r="185" spans="4:8" x14ac:dyDescent="0.2">
      <c r="D185" s="16" t="str">
        <f t="shared" si="6"/>
        <v>2nd GROUP L</v>
      </c>
      <c r="E185" s="16" t="s">
        <v>443</v>
      </c>
      <c r="G185" s="16" t="s">
        <v>567</v>
      </c>
      <c r="H185" s="9" t="s">
        <v>571</v>
      </c>
    </row>
    <row r="186" spans="4:8" x14ac:dyDescent="0.2">
      <c r="D186" s="16" t="str">
        <f t="shared" si="6"/>
        <v>3rd GROUP L</v>
      </c>
      <c r="E186" s="16" t="s">
        <v>443</v>
      </c>
      <c r="G186" s="16" t="s">
        <v>568</v>
      </c>
      <c r="H186" s="9" t="s">
        <v>572</v>
      </c>
    </row>
    <row r="187" spans="4:8" x14ac:dyDescent="0.2">
      <c r="D187" s="16" t="str">
        <f t="shared" si="6"/>
        <v>4th GROUP L</v>
      </c>
      <c r="E187" s="16" t="s">
        <v>443</v>
      </c>
      <c r="G187" s="16" t="s">
        <v>569</v>
      </c>
      <c r="H187" s="9" t="s">
        <v>573</v>
      </c>
    </row>
    <row r="188" spans="4:8" x14ac:dyDescent="0.2">
      <c r="D188" s="16" t="str">
        <f t="shared" si="4"/>
        <v>16-Finalist</v>
      </c>
      <c r="E188" s="16" t="s">
        <v>443</v>
      </c>
      <c r="F188" s="16" t="s">
        <v>439</v>
      </c>
      <c r="G188" s="16" t="s">
        <v>576</v>
      </c>
      <c r="H188" s="9" t="s">
        <v>577</v>
      </c>
    </row>
    <row r="189" spans="4:8" x14ac:dyDescent="0.2">
      <c r="D189" s="16" t="str">
        <f t="shared" si="4"/>
        <v>8-Finalist</v>
      </c>
      <c r="E189" s="16" t="s">
        <v>443</v>
      </c>
      <c r="G189" s="16" t="s">
        <v>1301</v>
      </c>
      <c r="H189" s="9" t="s">
        <v>411</v>
      </c>
    </row>
    <row r="190" spans="4:8" x14ac:dyDescent="0.2">
      <c r="D190" s="16" t="str">
        <f t="shared" si="4"/>
        <v>Quarterfinalist</v>
      </c>
      <c r="E190" s="16" t="s">
        <v>443</v>
      </c>
      <c r="F190" s="16" t="s">
        <v>440</v>
      </c>
      <c r="G190" s="16" t="s">
        <v>60</v>
      </c>
      <c r="H190" s="9" t="s">
        <v>412</v>
      </c>
    </row>
    <row r="191" spans="4:8" x14ac:dyDescent="0.2">
      <c r="D191" s="16" t="str">
        <f t="shared" si="4"/>
        <v>Semifinalist</v>
      </c>
      <c r="E191" s="16" t="s">
        <v>443</v>
      </c>
      <c r="F191" s="16" t="s">
        <v>441</v>
      </c>
      <c r="G191" s="16" t="s">
        <v>63</v>
      </c>
      <c r="H191" s="9" t="s">
        <v>413</v>
      </c>
    </row>
    <row r="192" spans="4:8" x14ac:dyDescent="0.2">
      <c r="D192" s="16" t="str">
        <f t="shared" si="4"/>
        <v>3rd-4th place</v>
      </c>
      <c r="E192" s="16" t="s">
        <v>443</v>
      </c>
      <c r="G192" s="16" t="s">
        <v>501</v>
      </c>
      <c r="H192" s="9" t="s">
        <v>502</v>
      </c>
    </row>
    <row r="193" spans="2:11" x14ac:dyDescent="0.2">
      <c r="D193" s="16" t="str">
        <f t="shared" si="4"/>
        <v>Finalist</v>
      </c>
      <c r="E193" s="16" t="s">
        <v>443</v>
      </c>
      <c r="F193" s="16" t="s">
        <v>442</v>
      </c>
      <c r="G193" s="16" t="s">
        <v>66</v>
      </c>
      <c r="H193" s="9" t="s">
        <v>414</v>
      </c>
    </row>
    <row r="197" spans="2:11" x14ac:dyDescent="0.2">
      <c r="J197" s="606"/>
      <c r="K197" s="594"/>
    </row>
    <row r="199" spans="2:11" x14ac:dyDescent="0.2">
      <c r="J199" s="606"/>
    </row>
    <row r="201" spans="2:11" x14ac:dyDescent="0.2">
      <c r="C201" s="16" t="s">
        <v>1456</v>
      </c>
    </row>
    <row r="202" spans="2:11" x14ac:dyDescent="0.2">
      <c r="B202" s="16">
        <v>1</v>
      </c>
      <c r="C202" s="16">
        <v>17</v>
      </c>
      <c r="D202" s="16" t="str">
        <f t="shared" ref="D202:D249" ca="1" si="7">IF($B$2,G202,H202)</f>
        <v>Germany</v>
      </c>
      <c r="E202" s="16" t="s">
        <v>219</v>
      </c>
      <c r="F202" s="16" t="s">
        <v>311</v>
      </c>
      <c r="G202" s="16" t="str">
        <f ca="1">Credits!EU6119</f>
        <v>Alemania</v>
      </c>
      <c r="H202" s="16" t="str">
        <f ca="1">Credits!EV6119</f>
        <v>Germany</v>
      </c>
    </row>
    <row r="203" spans="2:11" x14ac:dyDescent="0.2">
      <c r="B203" s="16">
        <v>2</v>
      </c>
      <c r="C203" s="16">
        <v>31</v>
      </c>
      <c r="D203" s="16" t="str">
        <f t="shared" ca="1" si="7"/>
        <v>Saudi Arabia</v>
      </c>
      <c r="E203" s="16" t="s">
        <v>219</v>
      </c>
      <c r="F203" s="16" t="s">
        <v>190</v>
      </c>
      <c r="G203" s="16" t="str">
        <f ca="1">Credits!EU6120</f>
        <v>Arabia Saudita</v>
      </c>
      <c r="H203" s="16" t="str">
        <f ca="1">Credits!EV6120</f>
        <v>Saudi Arabia</v>
      </c>
    </row>
    <row r="204" spans="2:11" x14ac:dyDescent="0.2">
      <c r="B204" s="16">
        <v>3</v>
      </c>
      <c r="C204" s="16">
        <v>38</v>
      </c>
      <c r="D204" s="16" t="str">
        <f t="shared" ca="1" si="7"/>
        <v>Algeria</v>
      </c>
      <c r="E204" s="16" t="s">
        <v>219</v>
      </c>
      <c r="F204" s="16" t="s">
        <v>312</v>
      </c>
      <c r="G204" s="16" t="str">
        <f ca="1">Credits!EU6121</f>
        <v>Argelia</v>
      </c>
      <c r="H204" s="16" t="str">
        <f ca="1">Credits!EV6121</f>
        <v>Algeria</v>
      </c>
    </row>
    <row r="205" spans="2:11" x14ac:dyDescent="0.2">
      <c r="B205" s="16">
        <v>4</v>
      </c>
      <c r="C205" s="16">
        <v>37</v>
      </c>
      <c r="D205" s="16" t="str">
        <f t="shared" ca="1" si="7"/>
        <v>Argentina</v>
      </c>
      <c r="E205" s="16" t="s">
        <v>219</v>
      </c>
      <c r="F205" s="16" t="s">
        <v>313</v>
      </c>
      <c r="G205" s="16" t="str">
        <f ca="1">Credits!EU6122</f>
        <v>Argentina</v>
      </c>
      <c r="H205" s="16" t="str">
        <f ca="1">Credits!EV6122</f>
        <v>Argentina</v>
      </c>
    </row>
    <row r="206" spans="2:11" x14ac:dyDescent="0.2">
      <c r="B206" s="16">
        <v>5</v>
      </c>
      <c r="C206" s="16">
        <v>15</v>
      </c>
      <c r="D206" s="16" t="str">
        <f t="shared" ca="1" si="7"/>
        <v>Australia</v>
      </c>
      <c r="E206" s="16" t="s">
        <v>219</v>
      </c>
      <c r="F206" s="16" t="s">
        <v>314</v>
      </c>
      <c r="G206" s="16" t="str">
        <f ca="1">Credits!EU6123</f>
        <v>Australia</v>
      </c>
      <c r="H206" s="16" t="str">
        <f ca="1">Credits!EV6123</f>
        <v>Australia</v>
      </c>
    </row>
    <row r="207" spans="2:11" x14ac:dyDescent="0.2">
      <c r="B207" s="16">
        <v>6</v>
      </c>
      <c r="C207" s="16">
        <v>39</v>
      </c>
      <c r="D207" s="16" t="str">
        <f t="shared" ca="1" si="7"/>
        <v>Austria</v>
      </c>
      <c r="E207" s="16" t="s">
        <v>219</v>
      </c>
      <c r="F207" s="16" t="s">
        <v>315</v>
      </c>
      <c r="G207" s="16" t="str">
        <f ca="1">Credits!EU6124</f>
        <v>Austria</v>
      </c>
      <c r="H207" s="16" t="str">
        <f ca="1">Credits!EV6124</f>
        <v>Austria</v>
      </c>
    </row>
    <row r="208" spans="2:11" x14ac:dyDescent="0.2">
      <c r="B208" s="16">
        <v>7</v>
      </c>
      <c r="C208" s="16">
        <v>25</v>
      </c>
      <c r="D208" s="16" t="str">
        <f t="shared" ca="1" si="7"/>
        <v>Belgium</v>
      </c>
      <c r="E208" s="16" t="s">
        <v>219</v>
      </c>
      <c r="F208" s="16" t="s">
        <v>316</v>
      </c>
      <c r="G208" s="16" t="str">
        <f ca="1">Credits!EU6125</f>
        <v>Bélgica</v>
      </c>
      <c r="H208" s="16" t="str">
        <f ca="1">Credits!EV6125</f>
        <v>Belgium</v>
      </c>
    </row>
    <row r="209" spans="2:8" x14ac:dyDescent="0.2">
      <c r="B209" s="16">
        <v>8</v>
      </c>
      <c r="C209" s="16">
        <v>9</v>
      </c>
      <c r="D209" s="16" t="str">
        <f t="shared" ca="1" si="7"/>
        <v>Brazil</v>
      </c>
      <c r="E209" s="16" t="s">
        <v>219</v>
      </c>
      <c r="F209" s="16" t="s">
        <v>317</v>
      </c>
      <c r="G209" s="16" t="str">
        <f ca="1">Credits!EU6126</f>
        <v>Brasil</v>
      </c>
      <c r="H209" s="16" t="str">
        <f ca="1">Credits!EV6126</f>
        <v>Brazil</v>
      </c>
    </row>
    <row r="210" spans="2:8" x14ac:dyDescent="0.2">
      <c r="B210" s="16">
        <v>9</v>
      </c>
      <c r="C210" s="16">
        <v>30</v>
      </c>
      <c r="D210" s="16" t="str">
        <f t="shared" ca="1" si="7"/>
        <v>Cape Verde</v>
      </c>
      <c r="E210" s="16" t="s">
        <v>219</v>
      </c>
      <c r="F210" s="16" t="s">
        <v>318</v>
      </c>
      <c r="G210" s="16" t="str">
        <f ca="1">Credits!EU6127</f>
        <v>Cabo Verde</v>
      </c>
      <c r="H210" s="16" t="str">
        <f ca="1">Credits!EV6127</f>
        <v>Cape Verde</v>
      </c>
    </row>
    <row r="211" spans="2:8" x14ac:dyDescent="0.2">
      <c r="B211" s="16">
        <v>10</v>
      </c>
      <c r="C211" s="16">
        <v>5</v>
      </c>
      <c r="D211" s="16" t="str">
        <f t="shared" ca="1" si="7"/>
        <v>Canada</v>
      </c>
      <c r="E211" s="16" t="s">
        <v>219</v>
      </c>
      <c r="F211" s="16" t="s">
        <v>319</v>
      </c>
      <c r="G211" s="16" t="str">
        <f ca="1">Credits!EU6128</f>
        <v>Canadá</v>
      </c>
      <c r="H211" s="16" t="str">
        <f ca="1">Credits!EV6128</f>
        <v>Canada</v>
      </c>
    </row>
    <row r="212" spans="2:8" x14ac:dyDescent="0.2">
      <c r="B212" s="16">
        <v>11</v>
      </c>
      <c r="C212" s="16">
        <v>7</v>
      </c>
      <c r="D212" s="16" t="str">
        <f t="shared" ca="1" si="7"/>
        <v>Qatar</v>
      </c>
      <c r="E212" s="16" t="s">
        <v>219</v>
      </c>
      <c r="F212" s="16" t="s">
        <v>320</v>
      </c>
      <c r="G212" s="16" t="str">
        <f ca="1">Credits!EU6129</f>
        <v>Catar</v>
      </c>
      <c r="H212" s="16" t="str">
        <f ca="1">Credits!EV6129</f>
        <v>Qatar</v>
      </c>
    </row>
    <row r="213" spans="2:8" x14ac:dyDescent="0.2">
      <c r="B213" s="16">
        <v>12</v>
      </c>
      <c r="C213" s="16">
        <v>44</v>
      </c>
      <c r="D213" s="16" t="str">
        <f t="shared" ca="1" si="7"/>
        <v>Colombia</v>
      </c>
      <c r="E213" s="16" t="s">
        <v>219</v>
      </c>
      <c r="F213" s="16" t="s">
        <v>321</v>
      </c>
      <c r="G213" s="16" t="str">
        <f ca="1">Credits!EU6130</f>
        <v>Colombia</v>
      </c>
      <c r="H213" s="16" t="str">
        <f ca="1">Credits!EV6130</f>
        <v>Colombia</v>
      </c>
    </row>
    <row r="214" spans="2:8" x14ac:dyDescent="0.2">
      <c r="B214" s="16">
        <v>13</v>
      </c>
      <c r="C214" s="16">
        <v>3</v>
      </c>
      <c r="D214" s="16" t="str">
        <f t="shared" ca="1" si="7"/>
        <v>South Korea</v>
      </c>
      <c r="E214" s="16" t="s">
        <v>219</v>
      </c>
      <c r="F214" s="16" t="s">
        <v>322</v>
      </c>
      <c r="G214" s="16" t="str">
        <f ca="1">Credits!EU6131</f>
        <v>Corea del Sur</v>
      </c>
      <c r="H214" s="16" t="str">
        <f ca="1">Credits!EV6131</f>
        <v>South Korea</v>
      </c>
    </row>
    <row r="215" spans="2:8" x14ac:dyDescent="0.2">
      <c r="B215" s="16">
        <v>14</v>
      </c>
      <c r="C215" s="16">
        <v>19</v>
      </c>
      <c r="D215" s="16" t="str">
        <f t="shared" ca="1" si="7"/>
        <v>Ivory Coast</v>
      </c>
      <c r="E215" s="16" t="s">
        <v>219</v>
      </c>
      <c r="F215" s="16" t="s">
        <v>323</v>
      </c>
      <c r="G215" s="16" t="str">
        <f ca="1">Credits!EU6132</f>
        <v>Costa de Marfil</v>
      </c>
      <c r="H215" s="16" t="str">
        <f ca="1">Credits!EV6132</f>
        <v>Ivory Coast</v>
      </c>
    </row>
    <row r="216" spans="2:8" x14ac:dyDescent="0.2">
      <c r="B216" s="16">
        <v>15</v>
      </c>
      <c r="C216" s="16">
        <v>46</v>
      </c>
      <c r="D216" s="16" t="str">
        <f t="shared" ca="1" si="7"/>
        <v>Croatia</v>
      </c>
      <c r="E216" s="16" t="s">
        <v>219</v>
      </c>
      <c r="F216" s="16" t="s">
        <v>324</v>
      </c>
      <c r="G216" s="16" t="str">
        <f ca="1">Credits!EU6133</f>
        <v>Croacia</v>
      </c>
      <c r="H216" s="16" t="str">
        <f ca="1">Credits!EV6133</f>
        <v>Croatia</v>
      </c>
    </row>
    <row r="217" spans="2:8" x14ac:dyDescent="0.2">
      <c r="B217" s="16">
        <v>16</v>
      </c>
      <c r="C217" s="16">
        <v>18</v>
      </c>
      <c r="D217" s="16" t="str">
        <f t="shared" ca="1" si="7"/>
        <v>Curaçao</v>
      </c>
      <c r="E217" s="16" t="s">
        <v>219</v>
      </c>
      <c r="F217" s="16" t="s">
        <v>325</v>
      </c>
      <c r="G217" s="16" t="str">
        <f ca="1">Credits!EU6134</f>
        <v>Curazao</v>
      </c>
      <c r="H217" s="16" t="str">
        <f ca="1">Credits!EV6134</f>
        <v>Curaçao</v>
      </c>
    </row>
    <row r="218" spans="2:8" x14ac:dyDescent="0.2">
      <c r="B218" s="16">
        <v>17</v>
      </c>
      <c r="C218" s="16">
        <v>20</v>
      </c>
      <c r="D218" s="16" t="str">
        <f t="shared" ca="1" si="7"/>
        <v>Ecuador</v>
      </c>
      <c r="E218" s="16" t="s">
        <v>219</v>
      </c>
      <c r="F218" s="16" t="s">
        <v>326</v>
      </c>
      <c r="G218" s="16" t="str">
        <f ca="1">Credits!EU6135</f>
        <v>Ecuador</v>
      </c>
      <c r="H218" s="16" t="str">
        <f ca="1">Credits!EV6135</f>
        <v>Ecuador</v>
      </c>
    </row>
    <row r="219" spans="2:8" x14ac:dyDescent="0.2">
      <c r="B219" s="16">
        <v>18</v>
      </c>
      <c r="C219" s="16">
        <v>26</v>
      </c>
      <c r="D219" s="16" t="str">
        <f t="shared" ca="1" si="7"/>
        <v>Egypt</v>
      </c>
      <c r="E219" s="16" t="s">
        <v>219</v>
      </c>
      <c r="F219" s="16" t="s">
        <v>327</v>
      </c>
      <c r="G219" s="16" t="str">
        <f ca="1">Credits!EU6136</f>
        <v>Egipto</v>
      </c>
      <c r="H219" s="16" t="str">
        <f ca="1">Credits!EV6136</f>
        <v>Egypt</v>
      </c>
    </row>
    <row r="220" spans="2:8" x14ac:dyDescent="0.2">
      <c r="B220" s="16">
        <v>19</v>
      </c>
      <c r="C220" s="16">
        <v>12</v>
      </c>
      <c r="D220" s="16" t="str">
        <f t="shared" ca="1" si="7"/>
        <v>Scotland</v>
      </c>
      <c r="E220" s="16" t="s">
        <v>219</v>
      </c>
      <c r="F220" s="16" t="s">
        <v>328</v>
      </c>
      <c r="G220" s="16" t="str">
        <f ca="1">Credits!EU6137</f>
        <v>Escocia</v>
      </c>
      <c r="H220" s="16" t="str">
        <f ca="1">Credits!EV6137</f>
        <v>Scotland</v>
      </c>
    </row>
    <row r="221" spans="2:8" x14ac:dyDescent="0.2">
      <c r="B221" s="16">
        <v>20</v>
      </c>
      <c r="C221" s="16">
        <v>29</v>
      </c>
      <c r="D221" s="16" t="str">
        <f t="shared" ca="1" si="7"/>
        <v>Spain</v>
      </c>
      <c r="E221" s="16" t="s">
        <v>219</v>
      </c>
      <c r="F221" s="16" t="s">
        <v>329</v>
      </c>
      <c r="G221" s="16" t="str">
        <f ca="1">Credits!EU6138</f>
        <v>España</v>
      </c>
      <c r="H221" s="16" t="str">
        <f ca="1">Credits!EV6138</f>
        <v>Spain</v>
      </c>
    </row>
    <row r="222" spans="2:8" x14ac:dyDescent="0.2">
      <c r="B222" s="16">
        <v>21</v>
      </c>
      <c r="C222" s="16">
        <v>13</v>
      </c>
      <c r="D222" s="16" t="str">
        <f t="shared" ca="1" si="7"/>
        <v>United States</v>
      </c>
      <c r="E222" s="16" t="s">
        <v>219</v>
      </c>
      <c r="F222" s="16" t="s">
        <v>330</v>
      </c>
      <c r="G222" s="16" t="str">
        <f ca="1">Credits!EU6139</f>
        <v>Estados Unidos</v>
      </c>
      <c r="H222" s="16" t="str">
        <f ca="1">Credits!EV6139</f>
        <v>United States</v>
      </c>
    </row>
    <row r="223" spans="2:8" x14ac:dyDescent="0.2">
      <c r="B223" s="16">
        <v>22</v>
      </c>
      <c r="C223" s="16">
        <v>33</v>
      </c>
      <c r="D223" s="16" t="str">
        <f t="shared" ca="1" si="7"/>
        <v>France</v>
      </c>
      <c r="E223" s="16" t="s">
        <v>219</v>
      </c>
      <c r="F223" s="16" t="s">
        <v>331</v>
      </c>
      <c r="G223" s="16" t="str">
        <f ca="1">Credits!EU6140</f>
        <v>Francia</v>
      </c>
      <c r="H223" s="16" t="str">
        <f ca="1">Credits!EV6140</f>
        <v>France</v>
      </c>
    </row>
    <row r="224" spans="2:8" x14ac:dyDescent="0.2">
      <c r="B224" s="16">
        <v>23</v>
      </c>
      <c r="C224" s="16">
        <v>47</v>
      </c>
      <c r="D224" s="16" t="str">
        <f t="shared" ca="1" si="7"/>
        <v>Ghana</v>
      </c>
      <c r="E224" s="16" t="s">
        <v>219</v>
      </c>
      <c r="F224" s="16" t="s">
        <v>332</v>
      </c>
      <c r="G224" s="16" t="str">
        <f ca="1">Credits!EU6141</f>
        <v>Ghana</v>
      </c>
      <c r="H224" s="16" t="str">
        <f ca="1">Credits!EV6141</f>
        <v>Ghana</v>
      </c>
    </row>
    <row r="225" spans="2:8" x14ac:dyDescent="0.2">
      <c r="B225" s="16">
        <v>24</v>
      </c>
      <c r="C225" s="16">
        <v>11</v>
      </c>
      <c r="D225" s="16" t="str">
        <f t="shared" ca="1" si="7"/>
        <v>Haiti</v>
      </c>
      <c r="E225" s="16" t="s">
        <v>219</v>
      </c>
      <c r="F225" s="16" t="s">
        <v>333</v>
      </c>
      <c r="G225" s="16" t="str">
        <f ca="1">Credits!EU6142</f>
        <v>Haití</v>
      </c>
      <c r="H225" s="16" t="str">
        <f ca="1">Credits!EV6142</f>
        <v>Haiti</v>
      </c>
    </row>
    <row r="226" spans="2:8" x14ac:dyDescent="0.2">
      <c r="B226" s="16">
        <v>25</v>
      </c>
      <c r="C226" s="16">
        <v>45</v>
      </c>
      <c r="D226" s="16" t="str">
        <f t="shared" ca="1" si="7"/>
        <v>England</v>
      </c>
      <c r="E226" s="16" t="s">
        <v>219</v>
      </c>
      <c r="F226" s="16" t="s">
        <v>334</v>
      </c>
      <c r="G226" s="16" t="str">
        <f ca="1">Credits!EU6143</f>
        <v>Inglaterra</v>
      </c>
      <c r="H226" s="16" t="str">
        <f ca="1">Credits!EV6143</f>
        <v>England</v>
      </c>
    </row>
    <row r="227" spans="2:8" x14ac:dyDescent="0.2">
      <c r="B227" s="16">
        <v>26</v>
      </c>
      <c r="C227" s="16">
        <v>27</v>
      </c>
      <c r="D227" s="16" t="str">
        <f t="shared" ca="1" si="7"/>
        <v>Iran</v>
      </c>
      <c r="E227" s="16" t="s">
        <v>219</v>
      </c>
      <c r="F227" s="16" t="s">
        <v>335</v>
      </c>
      <c r="G227" s="16" t="str">
        <f ca="1">Credits!EU6144</f>
        <v>Irán</v>
      </c>
      <c r="H227" s="16" t="str">
        <f ca="1">Credits!EV6144</f>
        <v>Iran</v>
      </c>
    </row>
    <row r="228" spans="2:8" x14ac:dyDescent="0.2">
      <c r="B228" s="16">
        <v>27</v>
      </c>
      <c r="C228" s="16">
        <v>22</v>
      </c>
      <c r="D228" s="16" t="str">
        <f t="shared" ca="1" si="7"/>
        <v>Japan</v>
      </c>
      <c r="E228" s="16" t="s">
        <v>219</v>
      </c>
      <c r="F228" s="16" t="s">
        <v>336</v>
      </c>
      <c r="G228" s="16" t="str">
        <f ca="1">Credits!EU6145</f>
        <v>Japón</v>
      </c>
      <c r="H228" s="16" t="str">
        <f ca="1">Credits!EV6145</f>
        <v>Japan</v>
      </c>
    </row>
    <row r="229" spans="2:8" x14ac:dyDescent="0.2">
      <c r="B229" s="16">
        <v>28</v>
      </c>
      <c r="C229" s="16">
        <v>40</v>
      </c>
      <c r="D229" s="16" t="str">
        <f t="shared" ca="1" si="7"/>
        <v>Jordan</v>
      </c>
      <c r="E229" s="16" t="s">
        <v>219</v>
      </c>
      <c r="F229" s="16" t="s">
        <v>337</v>
      </c>
      <c r="G229" s="16" t="str">
        <f ca="1">Credits!EU6146</f>
        <v>Jordania</v>
      </c>
      <c r="H229" s="16" t="str">
        <f ca="1">Credits!EV6146</f>
        <v>Jordan</v>
      </c>
    </row>
    <row r="230" spans="2:8" x14ac:dyDescent="0.2">
      <c r="B230" s="16">
        <v>29</v>
      </c>
      <c r="C230" s="16">
        <v>10</v>
      </c>
      <c r="D230" s="16" t="str">
        <f t="shared" ca="1" si="7"/>
        <v>Morocco</v>
      </c>
      <c r="E230" s="16" t="s">
        <v>219</v>
      </c>
      <c r="F230" s="16" t="s">
        <v>338</v>
      </c>
      <c r="G230" s="16" t="str">
        <f ca="1">Credits!EU6147</f>
        <v>Marruecos</v>
      </c>
      <c r="H230" s="16" t="str">
        <f ca="1">Credits!EV6147</f>
        <v>Morocco</v>
      </c>
    </row>
    <row r="231" spans="2:8" x14ac:dyDescent="0.2">
      <c r="B231" s="16">
        <v>30</v>
      </c>
      <c r="C231" s="16">
        <v>1</v>
      </c>
      <c r="D231" s="16" t="str">
        <f t="shared" ca="1" si="7"/>
        <v>Mexico</v>
      </c>
      <c r="E231" s="16" t="s">
        <v>219</v>
      </c>
      <c r="F231" s="16" t="s">
        <v>339</v>
      </c>
      <c r="G231" s="16" t="str">
        <f ca="1">Credits!EU6148</f>
        <v>México</v>
      </c>
      <c r="H231" s="16" t="str">
        <f ca="1">Credits!EV6148</f>
        <v>Mexico</v>
      </c>
    </row>
    <row r="232" spans="2:8" x14ac:dyDescent="0.2">
      <c r="B232" s="16">
        <v>31</v>
      </c>
      <c r="C232" s="16">
        <v>36</v>
      </c>
      <c r="D232" s="16" t="str">
        <f t="shared" ca="1" si="7"/>
        <v>Norway</v>
      </c>
      <c r="E232" s="16" t="s">
        <v>219</v>
      </c>
      <c r="F232" s="16" t="s">
        <v>340</v>
      </c>
      <c r="G232" s="16" t="str">
        <f ca="1">Credits!EU6149</f>
        <v>Noruega</v>
      </c>
      <c r="H232" s="16" t="str">
        <f ca="1">Credits!EV6149</f>
        <v>Norway</v>
      </c>
    </row>
    <row r="233" spans="2:8" x14ac:dyDescent="0.2">
      <c r="B233" s="16">
        <v>32</v>
      </c>
      <c r="C233" s="16">
        <v>28</v>
      </c>
      <c r="D233" s="16" t="str">
        <f t="shared" ca="1" si="7"/>
        <v>New Zealand</v>
      </c>
      <c r="E233" s="16" t="s">
        <v>219</v>
      </c>
      <c r="F233" s="16" t="s">
        <v>341</v>
      </c>
      <c r="G233" s="16" t="str">
        <f ca="1">Credits!EU6150</f>
        <v>Nueva Zelanda</v>
      </c>
      <c r="H233" s="16" t="str">
        <f ca="1">Credits!EV6150</f>
        <v>New Zealand</v>
      </c>
    </row>
    <row r="234" spans="2:8" x14ac:dyDescent="0.2">
      <c r="B234" s="16">
        <v>33</v>
      </c>
      <c r="C234" s="16">
        <v>21</v>
      </c>
      <c r="D234" s="16" t="str">
        <f t="shared" ca="1" si="7"/>
        <v>Netherlands</v>
      </c>
      <c r="E234" s="16" t="s">
        <v>219</v>
      </c>
      <c r="F234" s="16" t="s">
        <v>342</v>
      </c>
      <c r="G234" s="16" t="str">
        <f ca="1">Credits!EU6151</f>
        <v>Países Bajos</v>
      </c>
      <c r="H234" s="16" t="str">
        <f ca="1">Credits!EV6151</f>
        <v>Netherlands</v>
      </c>
    </row>
    <row r="235" spans="2:8" x14ac:dyDescent="0.2">
      <c r="B235" s="16">
        <v>34</v>
      </c>
      <c r="C235" s="16">
        <v>48</v>
      </c>
      <c r="D235" s="16" t="str">
        <f t="shared" ca="1" si="7"/>
        <v>Panama</v>
      </c>
      <c r="E235" s="16" t="s">
        <v>219</v>
      </c>
      <c r="F235" s="16" t="s">
        <v>343</v>
      </c>
      <c r="G235" s="16" t="str">
        <f ca="1">Credits!EU6152</f>
        <v>Panamá</v>
      </c>
      <c r="H235" s="16" t="str">
        <f ca="1">Credits!EV6152</f>
        <v>Panama</v>
      </c>
    </row>
    <row r="236" spans="2:8" x14ac:dyDescent="0.2">
      <c r="B236" s="16">
        <v>35</v>
      </c>
      <c r="C236" s="16">
        <v>14</v>
      </c>
      <c r="D236" s="16" t="str">
        <f t="shared" ca="1" si="7"/>
        <v>Paraguay</v>
      </c>
      <c r="E236" s="16" t="s">
        <v>219</v>
      </c>
      <c r="F236" s="16" t="s">
        <v>344</v>
      </c>
      <c r="G236" s="16" t="str">
        <f ca="1">Credits!EU6153</f>
        <v>Paraguay</v>
      </c>
      <c r="H236" s="16" t="str">
        <f ca="1">Credits!EV6153</f>
        <v>Paraguay</v>
      </c>
    </row>
    <row r="237" spans="2:8" x14ac:dyDescent="0.2">
      <c r="B237" s="16">
        <v>36</v>
      </c>
      <c r="C237" s="16">
        <v>41</v>
      </c>
      <c r="D237" s="16" t="str">
        <f t="shared" ca="1" si="7"/>
        <v>Portugal</v>
      </c>
      <c r="E237" s="16" t="s">
        <v>219</v>
      </c>
      <c r="F237" s="16" t="s">
        <v>345</v>
      </c>
      <c r="G237" s="16" t="str">
        <f ca="1">Credits!EU6154</f>
        <v>Portugal</v>
      </c>
      <c r="H237" s="16" t="str">
        <f ca="1">Credits!EV6154</f>
        <v>Portugal</v>
      </c>
    </row>
    <row r="238" spans="2:8" x14ac:dyDescent="0.2">
      <c r="B238" s="16">
        <v>37</v>
      </c>
      <c r="C238" s="16">
        <v>34</v>
      </c>
      <c r="D238" s="16" t="str">
        <f t="shared" ca="1" si="7"/>
        <v>Senegal</v>
      </c>
      <c r="E238" s="16" t="s">
        <v>219</v>
      </c>
      <c r="F238" s="16" t="s">
        <v>346</v>
      </c>
      <c r="G238" s="16" t="str">
        <f ca="1">Credits!EU6155</f>
        <v>Senegal</v>
      </c>
      <c r="H238" s="16" t="str">
        <f ca="1">Credits!EV6155</f>
        <v>Senegal</v>
      </c>
    </row>
    <row r="239" spans="2:8" x14ac:dyDescent="0.2">
      <c r="B239" s="16">
        <v>38</v>
      </c>
      <c r="C239" s="16">
        <v>2</v>
      </c>
      <c r="D239" s="16" t="str">
        <f t="shared" ca="1" si="7"/>
        <v>South Africa</v>
      </c>
      <c r="E239" s="16" t="s">
        <v>219</v>
      </c>
      <c r="F239" s="16" t="s">
        <v>347</v>
      </c>
      <c r="G239" s="16" t="str">
        <f ca="1">Credits!EU6156</f>
        <v>Sudáfrica</v>
      </c>
      <c r="H239" s="16" t="str">
        <f ca="1">Credits!EV6156</f>
        <v>South Africa</v>
      </c>
    </row>
    <row r="240" spans="2:8" x14ac:dyDescent="0.2">
      <c r="B240" s="16">
        <v>39</v>
      </c>
      <c r="C240" s="16">
        <v>8</v>
      </c>
      <c r="D240" s="16" t="str">
        <f t="shared" ca="1" si="7"/>
        <v>Switzerland</v>
      </c>
      <c r="E240" s="16" t="s">
        <v>219</v>
      </c>
      <c r="F240" s="16" t="s">
        <v>348</v>
      </c>
      <c r="G240" s="16" t="str">
        <f ca="1">Credits!EU6157</f>
        <v>Suiza</v>
      </c>
      <c r="H240" s="16" t="str">
        <f ca="1">Credits!EV6157</f>
        <v>Switzerland</v>
      </c>
    </row>
    <row r="241" spans="2:8" x14ac:dyDescent="0.2">
      <c r="B241" s="16">
        <v>40</v>
      </c>
      <c r="C241" s="16">
        <v>24</v>
      </c>
      <c r="D241" s="16" t="str">
        <f t="shared" ca="1" si="7"/>
        <v>Tunisia</v>
      </c>
      <c r="E241" s="16" t="s">
        <v>219</v>
      </c>
      <c r="F241" s="16" t="s">
        <v>349</v>
      </c>
      <c r="G241" s="16" t="str">
        <f ca="1">Credits!EU6158</f>
        <v>Túnez</v>
      </c>
      <c r="H241" s="16" t="str">
        <f ca="1">Credits!EV6158</f>
        <v>Tunisia</v>
      </c>
    </row>
    <row r="242" spans="2:8" x14ac:dyDescent="0.2">
      <c r="B242" s="16">
        <v>41</v>
      </c>
      <c r="C242" s="16">
        <v>32</v>
      </c>
      <c r="D242" s="16" t="str">
        <f t="shared" ca="1" si="7"/>
        <v>Uruguay</v>
      </c>
      <c r="E242" s="16" t="s">
        <v>219</v>
      </c>
      <c r="F242" s="16" t="s">
        <v>350</v>
      </c>
      <c r="G242" s="16" t="str">
        <f ca="1">Credits!EU6159</f>
        <v>Uruguay</v>
      </c>
      <c r="H242" s="16" t="str">
        <f ca="1">Credits!EV6159</f>
        <v>Uruguay</v>
      </c>
    </row>
    <row r="243" spans="2:8" x14ac:dyDescent="0.2">
      <c r="B243" s="16">
        <v>42</v>
      </c>
      <c r="C243" s="16">
        <v>43</v>
      </c>
      <c r="D243" s="16" t="str">
        <f t="shared" ca="1" si="7"/>
        <v>Uzbekistan</v>
      </c>
      <c r="E243" s="16" t="s">
        <v>219</v>
      </c>
      <c r="F243" s="16" t="s">
        <v>351</v>
      </c>
      <c r="G243" s="16" t="str">
        <f ca="1">Credits!EU6160</f>
        <v>Uzbekistán</v>
      </c>
      <c r="H243" s="16" t="str">
        <f ca="1">Credits!EV6160</f>
        <v>Uzbekistan</v>
      </c>
    </row>
    <row r="244" spans="2:8" x14ac:dyDescent="0.2">
      <c r="B244" s="16">
        <v>43</v>
      </c>
      <c r="C244" s="16">
        <v>42</v>
      </c>
      <c r="D244" s="16" t="str">
        <f t="shared" ca="1" si="7"/>
        <v>DR Congo</v>
      </c>
      <c r="E244" s="16" t="s">
        <v>219</v>
      </c>
      <c r="F244" s="16" t="s">
        <v>352</v>
      </c>
      <c r="G244" s="16" t="str">
        <f ca="1">Credits!EU6161</f>
        <v>RD Congo</v>
      </c>
      <c r="H244" s="16" t="str">
        <f ca="1">Credits!EV6161</f>
        <v>DR Congo</v>
      </c>
    </row>
    <row r="245" spans="2:8" x14ac:dyDescent="0.2">
      <c r="B245" s="16">
        <v>44</v>
      </c>
      <c r="C245" s="16">
        <v>35</v>
      </c>
      <c r="D245" s="16" t="str">
        <f t="shared" ca="1" si="7"/>
        <v>Iraq</v>
      </c>
      <c r="E245" s="16" t="s">
        <v>219</v>
      </c>
      <c r="F245" s="16" t="s">
        <v>353</v>
      </c>
      <c r="G245" s="16" t="str">
        <f ca="1">Credits!EU6162</f>
        <v>Irak</v>
      </c>
      <c r="H245" s="16" t="str">
        <f ca="1">Credits!EV6162</f>
        <v>Iraq</v>
      </c>
    </row>
    <row r="246" spans="2:8" x14ac:dyDescent="0.2">
      <c r="B246" s="16">
        <v>45</v>
      </c>
      <c r="C246" s="16">
        <v>6</v>
      </c>
      <c r="D246" s="16" t="str">
        <f t="shared" ca="1" si="7"/>
        <v>Bosnia and Herzegovina</v>
      </c>
      <c r="E246" s="16" t="s">
        <v>219</v>
      </c>
      <c r="F246" s="16" t="s">
        <v>354</v>
      </c>
      <c r="G246" s="16" t="str">
        <f ca="1">Credits!EU6163</f>
        <v>Bosnia y Herzegovina</v>
      </c>
      <c r="H246" s="16" t="str">
        <f ca="1">Credits!EV6163</f>
        <v>Bosnia and Herzegovina</v>
      </c>
    </row>
    <row r="247" spans="2:8" x14ac:dyDescent="0.2">
      <c r="B247" s="16">
        <v>46</v>
      </c>
      <c r="C247" s="16">
        <v>23</v>
      </c>
      <c r="D247" s="16" t="str">
        <f t="shared" ca="1" si="7"/>
        <v>Sweden</v>
      </c>
      <c r="E247" s="16" t="s">
        <v>219</v>
      </c>
      <c r="F247" s="16" t="s">
        <v>355</v>
      </c>
      <c r="G247" s="16" t="str">
        <f ca="1">Credits!EU6164</f>
        <v>Suecia</v>
      </c>
      <c r="H247" s="16" t="str">
        <f ca="1">Credits!EV6164</f>
        <v>Sweden</v>
      </c>
    </row>
    <row r="248" spans="2:8" x14ac:dyDescent="0.2">
      <c r="B248" s="16">
        <v>47</v>
      </c>
      <c r="C248" s="16">
        <v>16</v>
      </c>
      <c r="D248" s="16" t="str">
        <f t="shared" ca="1" si="7"/>
        <v>Turkey</v>
      </c>
      <c r="E248" s="16" t="s">
        <v>219</v>
      </c>
      <c r="F248" s="16" t="s">
        <v>356</v>
      </c>
      <c r="G248" s="16" t="str">
        <f ca="1">Credits!EU6165</f>
        <v>Turquía</v>
      </c>
      <c r="H248" s="16" t="str">
        <f ca="1">Credits!EV6165</f>
        <v>Turkey</v>
      </c>
    </row>
    <row r="249" spans="2:8" x14ac:dyDescent="0.2">
      <c r="B249" s="16">
        <v>48</v>
      </c>
      <c r="C249" s="16">
        <v>4</v>
      </c>
      <c r="D249" s="16" t="str">
        <f t="shared" ca="1" si="7"/>
        <v>Czech Republic</v>
      </c>
      <c r="E249" s="16" t="s">
        <v>219</v>
      </c>
      <c r="F249" s="16" t="s">
        <v>357</v>
      </c>
      <c r="G249" s="16" t="str">
        <f ca="1">Credits!EU6166</f>
        <v>República Checa</v>
      </c>
      <c r="H249" s="16" t="str">
        <f ca="1">Credits!EV6166</f>
        <v>Czech Republic</v>
      </c>
    </row>
    <row r="252" spans="2:8" x14ac:dyDescent="0.2">
      <c r="C252" s="16" t="s">
        <v>1457</v>
      </c>
      <c r="D252" s="16" t="str">
        <f t="shared" ref="D252" si="8">IF($B$2,G252,H252)</f>
        <v>United States</v>
      </c>
      <c r="E252" s="16" t="s">
        <v>384</v>
      </c>
      <c r="F252" s="16" t="s">
        <v>385</v>
      </c>
      <c r="G252" s="16" t="s">
        <v>507</v>
      </c>
      <c r="H252" s="16" t="s">
        <v>508</v>
      </c>
    </row>
    <row r="255" spans="2:8" x14ac:dyDescent="0.2">
      <c r="D255" s="16" t="str">
        <f t="shared" ref="D255:D270" si="9">IF($B$2,G255,H255)</f>
        <v>Winner</v>
      </c>
      <c r="E255" s="16" t="s">
        <v>1247</v>
      </c>
      <c r="G255" s="16" t="s">
        <v>19</v>
      </c>
      <c r="H255" s="582" t="s">
        <v>229</v>
      </c>
    </row>
    <row r="256" spans="2:8" x14ac:dyDescent="0.2">
      <c r="D256" s="16" t="str">
        <f t="shared" si="9"/>
        <v>Runner-up</v>
      </c>
      <c r="E256" s="16" t="s">
        <v>1247</v>
      </c>
      <c r="G256" s="16" t="s">
        <v>20</v>
      </c>
      <c r="H256" s="16" t="s">
        <v>230</v>
      </c>
    </row>
    <row r="257" spans="4:8" x14ac:dyDescent="0.2">
      <c r="D257" s="16" t="str">
        <f t="shared" si="9"/>
        <v>3rd place</v>
      </c>
      <c r="E257" s="16" t="s">
        <v>1247</v>
      </c>
      <c r="G257" s="16" t="s">
        <v>1239</v>
      </c>
      <c r="H257" s="16" t="s">
        <v>1240</v>
      </c>
    </row>
    <row r="258" spans="4:8" x14ac:dyDescent="0.2">
      <c r="D258" s="16" t="str">
        <f t="shared" si="9"/>
        <v>Semifinals</v>
      </c>
      <c r="E258" s="16" t="s">
        <v>1247</v>
      </c>
      <c r="G258" s="16" t="s">
        <v>38</v>
      </c>
      <c r="H258" s="582" t="s">
        <v>227</v>
      </c>
    </row>
    <row r="259" spans="4:8" x14ac:dyDescent="0.2">
      <c r="D259" s="16" t="str">
        <f t="shared" si="9"/>
        <v>Quarterfinals</v>
      </c>
      <c r="E259" s="16" t="s">
        <v>1247</v>
      </c>
      <c r="G259" s="16" t="s">
        <v>71</v>
      </c>
      <c r="H259" s="582" t="s">
        <v>226</v>
      </c>
    </row>
    <row r="260" spans="4:8" x14ac:dyDescent="0.2">
      <c r="D260" s="16" t="str">
        <f t="shared" si="9"/>
        <v>Round of 16</v>
      </c>
      <c r="E260" s="16" t="s">
        <v>1247</v>
      </c>
      <c r="G260" s="16" t="s">
        <v>88</v>
      </c>
      <c r="H260" s="582" t="s">
        <v>225</v>
      </c>
    </row>
    <row r="261" spans="4:8" x14ac:dyDescent="0.2">
      <c r="D261" s="16" t="str">
        <f t="shared" si="9"/>
        <v>Round of 32</v>
      </c>
      <c r="E261" s="16" t="s">
        <v>1247</v>
      </c>
      <c r="G261" s="16" t="s">
        <v>491</v>
      </c>
      <c r="H261" s="16" t="s">
        <v>492</v>
      </c>
    </row>
    <row r="262" spans="4:8" x14ac:dyDescent="0.2">
      <c r="D262" s="16" t="str">
        <f t="shared" si="9"/>
        <v>Group stage</v>
      </c>
      <c r="E262" s="16" t="s">
        <v>1247</v>
      </c>
      <c r="G262" s="16" t="s">
        <v>1248</v>
      </c>
      <c r="H262" s="582" t="s">
        <v>1249</v>
      </c>
    </row>
    <row r="263" spans="4:8" x14ac:dyDescent="0.2">
      <c r="D263" s="16" t="str">
        <f t="shared" si="9"/>
        <v>Predict the round</v>
      </c>
      <c r="E263" s="16" t="s">
        <v>1247</v>
      </c>
      <c r="G263" s="582" t="s">
        <v>1241</v>
      </c>
      <c r="H263" s="582" t="s">
        <v>1242</v>
      </c>
    </row>
    <row r="264" spans="4:8" x14ac:dyDescent="0.2">
      <c r="D264" s="16" t="str">
        <f t="shared" si="9"/>
        <v>Predict nation</v>
      </c>
      <c r="E264" s="16" t="s">
        <v>1247</v>
      </c>
      <c r="G264" s="582" t="s">
        <v>1250</v>
      </c>
      <c r="H264" s="582" t="s">
        <v>1251</v>
      </c>
    </row>
    <row r="265" spans="4:8" x14ac:dyDescent="0.2">
      <c r="D265" s="16" t="str">
        <f t="shared" si="9"/>
        <v>Round</v>
      </c>
      <c r="E265" s="16" t="s">
        <v>1247</v>
      </c>
      <c r="G265" s="582" t="s">
        <v>1243</v>
      </c>
      <c r="H265" s="582" t="s">
        <v>1244</v>
      </c>
    </row>
    <row r="266" spans="4:8" x14ac:dyDescent="0.2">
      <c r="D266" s="16" t="str">
        <f t="shared" si="9"/>
        <v>·Select for each round the nation or nations that you think will reach that round.</v>
      </c>
      <c r="E266" s="16" t="s">
        <v>1247</v>
      </c>
      <c r="G266" s="16" t="s">
        <v>1252</v>
      </c>
      <c r="H266" s="582" t="s">
        <v>1258</v>
      </c>
    </row>
    <row r="267" spans="4:8" x14ac:dyDescent="0.2">
      <c r="D267" s="16" t="str">
        <f t="shared" si="9"/>
        <v>·Once you select a nation, it will no longer appear in the selector.</v>
      </c>
      <c r="E267" s="16" t="s">
        <v>1247</v>
      </c>
      <c r="G267" s="16" t="s">
        <v>1259</v>
      </c>
      <c r="H267" s="582" t="s">
        <v>1257</v>
      </c>
    </row>
    <row r="268" spans="4:8" x14ac:dyDescent="0.2">
      <c r="D268" s="16" t="str">
        <f t="shared" si="9"/>
        <v>·If you've filled everything out and want to make a change,</v>
      </c>
      <c r="E268" s="16" t="s">
        <v>1247</v>
      </c>
      <c r="G268" s="16" t="s">
        <v>1245</v>
      </c>
      <c r="H268" s="582" t="s">
        <v>1246</v>
      </c>
    </row>
    <row r="269" spans="4:8" x14ac:dyDescent="0.2">
      <c r="D269" s="16" t="str">
        <f t="shared" si="9"/>
        <v xml:space="preserve"> delete the nations you want to change and you can select them again.</v>
      </c>
      <c r="E269" s="16" t="s">
        <v>1247</v>
      </c>
      <c r="G269" s="16" t="s">
        <v>1253</v>
      </c>
      <c r="H269" s="582" t="s">
        <v>1256</v>
      </c>
    </row>
    <row r="270" spans="4:8" x14ac:dyDescent="0.2">
      <c r="D270" s="16" t="str">
        <f t="shared" si="9"/>
        <v>Complete before World Cup begins</v>
      </c>
      <c r="E270" s="16" t="s">
        <v>1247</v>
      </c>
      <c r="G270" s="16" t="s">
        <v>1254</v>
      </c>
      <c r="H270" s="582" t="s">
        <v>1255</v>
      </c>
    </row>
    <row r="271" spans="4:8" x14ac:dyDescent="0.2">
      <c r="D271" s="16" t="str">
        <f t="shared" ref="D271" si="10">IF($B$2,G271,H271)</f>
        <v>·If you are not going to use the predictor in your group, you can leave it unfilled</v>
      </c>
      <c r="E271" s="16" t="s">
        <v>1247</v>
      </c>
      <c r="G271" s="16" t="s">
        <v>1369</v>
      </c>
      <c r="H271" s="16" t="s">
        <v>1370</v>
      </c>
    </row>
    <row r="273" spans="4:8" x14ac:dyDescent="0.2">
      <c r="D273" s="16" t="str">
        <f t="shared" ref="D273" si="11">IF($B$2,G273,H273)</f>
        <v>If Iran doesn't participate in the World Cup and is replaced by another team, select the substitute nation from the dropdown menu. If it doesn't appear, choose 'Otro/Other' and manually enter the name (Spanish and English), its UTC zone and, optionally, its flag image.</v>
      </c>
      <c r="G273" s="16" t="s">
        <v>1483</v>
      </c>
      <c r="H273" s="16" t="s">
        <v>1484</v>
      </c>
    </row>
    <row r="922" spans="4:4" x14ac:dyDescent="0.2">
      <c r="D922" s="16" t="s">
        <v>1331</v>
      </c>
    </row>
    <row r="923" spans="4:4" x14ac:dyDescent="0.2">
      <c r="D923" s="16" t="s">
        <v>1348</v>
      </c>
    </row>
  </sheetData>
  <sheetProtection algorithmName="SHA-512" hashValue="xs8+ySBcfQ/ypckkn8XSbvPrD159nhOF9qK/3KDL3gfolgMeJaIRzqG1qCi/x72kn5CwrZcJj6KTarirOAYc4g==" saltValue="ca4/tn+fdKUoHyBWSoa+rA==" spinCount="100000" sheet="1" objects="1" scenarios="1" selectLockedCells="1" selectUnlockedCells="1"/>
  <phoneticPr fontId="13" type="noConversion"/>
  <conditionalFormatting sqref="C202:C249">
    <cfRule type="duplicateValues" dxfId="5"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AEED-C686-484C-B9DD-266178AE1404}">
  <sheetPr codeName="Hoja12"/>
  <dimension ref="A1:W497"/>
  <sheetViews>
    <sheetView showGridLines="0" showRowColHeaders="0" topLeftCell="JW1589" workbookViewId="0">
      <selection activeCell="KL1622" sqref="KL1622"/>
    </sheetView>
  </sheetViews>
  <sheetFormatPr baseColWidth="10" defaultRowHeight="15" x14ac:dyDescent="0.2"/>
  <cols>
    <col min="1" max="1" width="9.5" style="16" bestFit="1" customWidth="1"/>
    <col min="2" max="2" width="6" style="16" bestFit="1" customWidth="1"/>
    <col min="3" max="13" width="10.83203125" style="16"/>
    <col min="14" max="14" width="9.5" style="16" bestFit="1" customWidth="1"/>
    <col min="15" max="15" width="6.5" style="16" bestFit="1" customWidth="1"/>
    <col min="16" max="16384" width="10.83203125" style="16"/>
  </cols>
  <sheetData>
    <row r="1" spans="1:23" x14ac:dyDescent="0.2">
      <c r="A1" s="408" t="s">
        <v>84</v>
      </c>
      <c r="B1" s="408" t="s">
        <v>85</v>
      </c>
      <c r="C1" s="406" t="s">
        <v>0</v>
      </c>
      <c r="D1" s="406" t="s">
        <v>1</v>
      </c>
      <c r="E1" s="406" t="s">
        <v>74</v>
      </c>
      <c r="F1" s="406" t="s">
        <v>3</v>
      </c>
      <c r="G1" s="406" t="s">
        <v>6</v>
      </c>
      <c r="H1" s="406" t="s">
        <v>448</v>
      </c>
      <c r="I1" s="406" t="s">
        <v>449</v>
      </c>
      <c r="J1" s="406" t="s">
        <v>247</v>
      </c>
      <c r="N1" s="16" t="s">
        <v>775</v>
      </c>
      <c r="O1" s="410" t="s">
        <v>1371</v>
      </c>
      <c r="P1" s="410" t="s">
        <v>656</v>
      </c>
      <c r="Q1" s="410" t="s">
        <v>659</v>
      </c>
      <c r="R1" s="410" t="s">
        <v>669</v>
      </c>
      <c r="S1" s="410" t="s">
        <v>672</v>
      </c>
      <c r="T1" s="410" t="s">
        <v>678</v>
      </c>
      <c r="U1" s="410" t="s">
        <v>684</v>
      </c>
      <c r="V1" s="410" t="s">
        <v>690</v>
      </c>
      <c r="W1" s="410" t="s">
        <v>693</v>
      </c>
    </row>
    <row r="2" spans="1:23" x14ac:dyDescent="0.2">
      <c r="A2" s="9" t="s">
        <v>489</v>
      </c>
      <c r="B2" s="9">
        <f ca="1">+IF(A2=WORLDCUP!$BI$112,1,0)</f>
        <v>0</v>
      </c>
      <c r="C2" s="9" t="str">
        <f ca="1">+WORLDCUP!BD62</f>
        <v>Ivory Coast</v>
      </c>
      <c r="D2" s="9" t="str">
        <f ca="1">+WORLDCUP!BD67</f>
        <v>Austria</v>
      </c>
      <c r="E2" s="9" t="str">
        <f ca="1">+WORLDCUP!BD66</f>
        <v>Iraq</v>
      </c>
      <c r="F2" s="9" t="str">
        <f ca="1">+WORLDCUP!BD63</f>
        <v>Sweden</v>
      </c>
      <c r="G2" s="9" t="str">
        <f ca="1">+WORLDCUP!BD65</f>
        <v>Saudi Arabia</v>
      </c>
      <c r="H2" s="9" t="str">
        <f ca="1">+WORLDCUP!BD64</f>
        <v>Iran</v>
      </c>
      <c r="I2" s="9" t="str">
        <f ca="1">+WORLDCUP!BD69</f>
        <v>Ghana</v>
      </c>
      <c r="J2" s="9" t="str">
        <f ca="1">+WORLDCUP!BD68</f>
        <v>Uzbekistan</v>
      </c>
      <c r="L2" s="16" t="str">
        <f>+ROW()&amp;"."&amp;COLUMN()</f>
        <v>2.12</v>
      </c>
      <c r="N2" s="16" t="s">
        <v>489</v>
      </c>
      <c r="O2" s="16">
        <v>1</v>
      </c>
      <c r="P2" s="16" t="s">
        <v>94</v>
      </c>
      <c r="Q2" s="16" t="s">
        <v>451</v>
      </c>
      <c r="R2" s="16" t="s">
        <v>450</v>
      </c>
      <c r="S2" s="16" t="s">
        <v>95</v>
      </c>
      <c r="T2" s="16" t="s">
        <v>446</v>
      </c>
      <c r="U2" s="16" t="s">
        <v>445</v>
      </c>
      <c r="V2" s="16" t="s">
        <v>453</v>
      </c>
      <c r="W2" s="16" t="s">
        <v>452</v>
      </c>
    </row>
    <row r="3" spans="1:23" x14ac:dyDescent="0.2">
      <c r="A3" s="9" t="s">
        <v>622</v>
      </c>
      <c r="B3" s="9">
        <f ca="1">+IF(A3=WORLDCUP!$BI$112,1,0)</f>
        <v>0</v>
      </c>
      <c r="C3" s="9" t="str">
        <f ca="1">+WORLDCUP!BD65</f>
        <v>Saudi Arabia</v>
      </c>
      <c r="D3" s="9" t="str">
        <f ca="1">+WORLDCUP!BD64</f>
        <v>Iran</v>
      </c>
      <c r="E3" s="9" t="str">
        <f ca="1">+WORLDCUP!BD66</f>
        <v>Iraq</v>
      </c>
      <c r="F3" s="9" t="str">
        <f ca="1">+WORLDCUP!BD61</f>
        <v>Australia</v>
      </c>
      <c r="G3" s="9" t="str">
        <f ca="1">+WORLDCUP!BD67</f>
        <v>Austria</v>
      </c>
      <c r="H3" s="9" t="str">
        <f ca="1">+WORLDCUP!BD63</f>
        <v>Sweden</v>
      </c>
      <c r="I3" s="9" t="str">
        <f ca="1">+WORLDCUP!BD69</f>
        <v>Ghana</v>
      </c>
      <c r="J3" s="9" t="str">
        <f ca="1">+WORLDCUP!BD68</f>
        <v>Uzbekistan</v>
      </c>
      <c r="N3" s="16" t="s">
        <v>622</v>
      </c>
      <c r="O3" s="16">
        <v>2</v>
      </c>
      <c r="P3" s="16" t="s">
        <v>446</v>
      </c>
      <c r="Q3" s="16" t="s">
        <v>445</v>
      </c>
      <c r="R3" s="16" t="s">
        <v>450</v>
      </c>
      <c r="S3" s="16" t="s">
        <v>93</v>
      </c>
      <c r="T3" s="16" t="s">
        <v>451</v>
      </c>
      <c r="U3" s="16" t="s">
        <v>95</v>
      </c>
      <c r="V3" s="16" t="s">
        <v>453</v>
      </c>
      <c r="W3" s="16" t="s">
        <v>452</v>
      </c>
    </row>
    <row r="4" spans="1:23" x14ac:dyDescent="0.2">
      <c r="A4" s="9" t="s">
        <v>1201</v>
      </c>
      <c r="B4" s="9">
        <f ca="1">+IF(A4=WORLDCUP!$BI$112,1,0)</f>
        <v>0</v>
      </c>
      <c r="C4" s="9" t="str">
        <f ca="1">+WORLDCUP!BD62</f>
        <v>Ivory Coast</v>
      </c>
      <c r="D4" s="9" t="str">
        <f ca="1">+WORLDCUP!BD67</f>
        <v>Austria</v>
      </c>
      <c r="E4" s="9" t="str">
        <f ca="1">+WORLDCUP!BD66</f>
        <v>Iraq</v>
      </c>
      <c r="F4" s="9" t="str">
        <f ca="1">+WORLDCUP!BD61</f>
        <v>Australia</v>
      </c>
      <c r="G4" s="9" t="str">
        <f ca="1">+WORLDCUP!BD65</f>
        <v>Saudi Arabia</v>
      </c>
      <c r="H4" s="9" t="str">
        <f ca="1">+WORLDCUP!BD64</f>
        <v>Iran</v>
      </c>
      <c r="I4" s="9" t="str">
        <f ca="1">+WORLDCUP!BD69</f>
        <v>Ghana</v>
      </c>
      <c r="J4" s="9" t="str">
        <f ca="1">+WORLDCUP!BD68</f>
        <v>Uzbekistan</v>
      </c>
      <c r="N4" s="16" t="s">
        <v>1201</v>
      </c>
      <c r="O4" s="16">
        <v>3</v>
      </c>
      <c r="P4" s="16" t="s">
        <v>94</v>
      </c>
      <c r="Q4" s="16" t="s">
        <v>451</v>
      </c>
      <c r="R4" s="16" t="s">
        <v>450</v>
      </c>
      <c r="S4" s="16" t="s">
        <v>93</v>
      </c>
      <c r="T4" s="16" t="s">
        <v>446</v>
      </c>
      <c r="U4" s="16" t="s">
        <v>445</v>
      </c>
      <c r="V4" s="16" t="s">
        <v>453</v>
      </c>
      <c r="W4" s="16" t="s">
        <v>452</v>
      </c>
    </row>
    <row r="5" spans="1:23" x14ac:dyDescent="0.2">
      <c r="A5" s="9" t="s">
        <v>1200</v>
      </c>
      <c r="B5" s="9">
        <f ca="1">+IF(A5=WORLDCUP!$BI$112,1,0)</f>
        <v>0</v>
      </c>
      <c r="C5" s="9" t="str">
        <f ca="1">+WORLDCUP!BD62</f>
        <v>Ivory Coast</v>
      </c>
      <c r="D5" s="9" t="str">
        <f ca="1">+WORLDCUP!BD67</f>
        <v>Austria</v>
      </c>
      <c r="E5" s="9" t="str">
        <f ca="1">+WORLDCUP!BD66</f>
        <v>Iraq</v>
      </c>
      <c r="F5" s="9" t="str">
        <f ca="1">+WORLDCUP!BD61</f>
        <v>Australia</v>
      </c>
      <c r="G5" s="9" t="str">
        <f ca="1">+WORLDCUP!BD65</f>
        <v>Saudi Arabia</v>
      </c>
      <c r="H5" s="9" t="str">
        <f ca="1">+WORLDCUP!BD63</f>
        <v>Sweden</v>
      </c>
      <c r="I5" s="9" t="str">
        <f ca="1">+WORLDCUP!BD69</f>
        <v>Ghana</v>
      </c>
      <c r="J5" s="9" t="str">
        <f ca="1">+WORLDCUP!BD68</f>
        <v>Uzbekistan</v>
      </c>
      <c r="N5" s="16" t="s">
        <v>1200</v>
      </c>
      <c r="O5" s="16">
        <v>4</v>
      </c>
      <c r="P5" s="16" t="s">
        <v>94</v>
      </c>
      <c r="Q5" s="16" t="s">
        <v>451</v>
      </c>
      <c r="R5" s="16" t="s">
        <v>450</v>
      </c>
      <c r="S5" s="16" t="s">
        <v>93</v>
      </c>
      <c r="T5" s="16" t="s">
        <v>446</v>
      </c>
      <c r="U5" s="16" t="s">
        <v>95</v>
      </c>
      <c r="V5" s="16" t="s">
        <v>453</v>
      </c>
      <c r="W5" s="16" t="s">
        <v>452</v>
      </c>
    </row>
    <row r="6" spans="1:23" x14ac:dyDescent="0.2">
      <c r="A6" s="9" t="s">
        <v>1199</v>
      </c>
      <c r="B6" s="9">
        <f ca="1">+IF(A6=WORLDCUP!$BI$112,1,0)</f>
        <v>0</v>
      </c>
      <c r="C6" s="9" t="str">
        <f ca="1">+WORLDCUP!BD62</f>
        <v>Ivory Coast</v>
      </c>
      <c r="D6" s="9" t="str">
        <f ca="1">+WORLDCUP!BD64</f>
        <v>Iran</v>
      </c>
      <c r="E6" s="9" t="str">
        <f ca="1">+WORLDCUP!BD66</f>
        <v>Iraq</v>
      </c>
      <c r="F6" s="9" t="str">
        <f ca="1">+WORLDCUP!BD61</f>
        <v>Australia</v>
      </c>
      <c r="G6" s="9" t="str">
        <f ca="1">+WORLDCUP!BD67</f>
        <v>Austria</v>
      </c>
      <c r="H6" s="9" t="str">
        <f ca="1">+WORLDCUP!BD63</f>
        <v>Sweden</v>
      </c>
      <c r="I6" s="9" t="str">
        <f ca="1">+WORLDCUP!BD69</f>
        <v>Ghana</v>
      </c>
      <c r="J6" s="9" t="str">
        <f ca="1">+WORLDCUP!BD68</f>
        <v>Uzbekistan</v>
      </c>
      <c r="N6" s="16" t="s">
        <v>1199</v>
      </c>
      <c r="O6" s="16">
        <v>5</v>
      </c>
      <c r="P6" s="16" t="s">
        <v>94</v>
      </c>
      <c r="Q6" s="16" t="s">
        <v>445</v>
      </c>
      <c r="R6" s="16" t="s">
        <v>450</v>
      </c>
      <c r="S6" s="16" t="s">
        <v>93</v>
      </c>
      <c r="T6" s="16" t="s">
        <v>451</v>
      </c>
      <c r="U6" s="16" t="s">
        <v>95</v>
      </c>
      <c r="V6" s="16" t="s">
        <v>453</v>
      </c>
      <c r="W6" s="16" t="s">
        <v>452</v>
      </c>
    </row>
    <row r="7" spans="1:23" x14ac:dyDescent="0.2">
      <c r="A7" s="9" t="s">
        <v>1198</v>
      </c>
      <c r="B7" s="9">
        <f ca="1">+IF(A7=WORLDCUP!$BI$112,1,0)</f>
        <v>0</v>
      </c>
      <c r="C7" s="9" t="str">
        <f ca="1">+WORLDCUP!BD62</f>
        <v>Ivory Coast</v>
      </c>
      <c r="D7" s="9" t="str">
        <f ca="1">+WORLDCUP!BD64</f>
        <v>Iran</v>
      </c>
      <c r="E7" s="9" t="str">
        <f ca="1">+WORLDCUP!BD67</f>
        <v>Austria</v>
      </c>
      <c r="F7" s="9" t="str">
        <f ca="1">+WORLDCUP!BD61</f>
        <v>Australia</v>
      </c>
      <c r="G7" s="9" t="str">
        <f ca="1">+WORLDCUP!BD65</f>
        <v>Saudi Arabia</v>
      </c>
      <c r="H7" s="9" t="str">
        <f ca="1">+WORLDCUP!BD63</f>
        <v>Sweden</v>
      </c>
      <c r="I7" s="9" t="str">
        <f ca="1">+WORLDCUP!BD69</f>
        <v>Ghana</v>
      </c>
      <c r="J7" s="9" t="str">
        <f ca="1">+WORLDCUP!BD68</f>
        <v>Uzbekistan</v>
      </c>
      <c r="N7" s="16" t="s">
        <v>1198</v>
      </c>
      <c r="O7" s="16">
        <v>6</v>
      </c>
      <c r="P7" s="16" t="s">
        <v>94</v>
      </c>
      <c r="Q7" s="16" t="s">
        <v>445</v>
      </c>
      <c r="R7" s="16" t="s">
        <v>451</v>
      </c>
      <c r="S7" s="16" t="s">
        <v>93</v>
      </c>
      <c r="T7" s="16" t="s">
        <v>446</v>
      </c>
      <c r="U7" s="16" t="s">
        <v>95</v>
      </c>
      <c r="V7" s="16" t="s">
        <v>453</v>
      </c>
      <c r="W7" s="16" t="s">
        <v>452</v>
      </c>
    </row>
    <row r="8" spans="1:23" x14ac:dyDescent="0.2">
      <c r="A8" s="9" t="s">
        <v>488</v>
      </c>
      <c r="B8" s="9">
        <f ca="1">+IF(A8=WORLDCUP!$BI$112,1,0)</f>
        <v>0</v>
      </c>
      <c r="C8" s="9" t="str">
        <f ca="1">+WORLDCUP!BD62</f>
        <v>Ivory Coast</v>
      </c>
      <c r="D8" s="9" t="str">
        <f ca="1">+WORLDCUP!BD64</f>
        <v>Iran</v>
      </c>
      <c r="E8" s="9" t="str">
        <f ca="1">+WORLDCUP!BD66</f>
        <v>Iraq</v>
      </c>
      <c r="F8" s="9" t="str">
        <f ca="1">+WORLDCUP!BD61</f>
        <v>Australia</v>
      </c>
      <c r="G8" s="9" t="str">
        <f ca="1">+WORLDCUP!BD65</f>
        <v>Saudi Arabia</v>
      </c>
      <c r="H8" s="9" t="str">
        <f ca="1">+WORLDCUP!BD63</f>
        <v>Sweden</v>
      </c>
      <c r="I8" s="9" t="str">
        <f ca="1">+WORLDCUP!BD69</f>
        <v>Ghana</v>
      </c>
      <c r="J8" s="9" t="str">
        <f ca="1">+WORLDCUP!BD68</f>
        <v>Uzbekistan</v>
      </c>
      <c r="N8" s="16" t="s">
        <v>488</v>
      </c>
      <c r="O8" s="16">
        <v>7</v>
      </c>
      <c r="P8" s="16" t="s">
        <v>94</v>
      </c>
      <c r="Q8" s="16" t="s">
        <v>445</v>
      </c>
      <c r="R8" s="16" t="s">
        <v>450</v>
      </c>
      <c r="S8" s="16" t="s">
        <v>93</v>
      </c>
      <c r="T8" s="16" t="s">
        <v>446</v>
      </c>
      <c r="U8" s="16" t="s">
        <v>95</v>
      </c>
      <c r="V8" s="16" t="s">
        <v>453</v>
      </c>
      <c r="W8" s="16" t="s">
        <v>452</v>
      </c>
    </row>
    <row r="9" spans="1:23" x14ac:dyDescent="0.2">
      <c r="A9" s="9" t="s">
        <v>487</v>
      </c>
      <c r="B9" s="9">
        <f ca="1">+IF(A9=WORLDCUP!$BI$112,1,0)</f>
        <v>0</v>
      </c>
      <c r="C9" s="9" t="str">
        <f ca="1">+WORLDCUP!BD62</f>
        <v>Ivory Coast</v>
      </c>
      <c r="D9" s="9" t="str">
        <f ca="1">+WORLDCUP!BD64</f>
        <v>Iran</v>
      </c>
      <c r="E9" s="9" t="str">
        <f ca="1">+WORLDCUP!BD67</f>
        <v>Austria</v>
      </c>
      <c r="F9" s="9" t="str">
        <f ca="1">+WORLDCUP!BD61</f>
        <v>Australia</v>
      </c>
      <c r="G9" s="9" t="str">
        <f ca="1">+WORLDCUP!BD65</f>
        <v>Saudi Arabia</v>
      </c>
      <c r="H9" s="9" t="str">
        <f ca="1">+WORLDCUP!BD63</f>
        <v>Sweden</v>
      </c>
      <c r="I9" s="9" t="str">
        <f ca="1">+WORLDCUP!BD69</f>
        <v>Ghana</v>
      </c>
      <c r="J9" s="9" t="str">
        <f ca="1">+WORLDCUP!BD66</f>
        <v>Iraq</v>
      </c>
      <c r="N9" s="16" t="s">
        <v>487</v>
      </c>
      <c r="O9" s="16">
        <v>8</v>
      </c>
      <c r="P9" s="16" t="s">
        <v>94</v>
      </c>
      <c r="Q9" s="16" t="s">
        <v>445</v>
      </c>
      <c r="R9" s="16" t="s">
        <v>451</v>
      </c>
      <c r="S9" s="16" t="s">
        <v>93</v>
      </c>
      <c r="T9" s="16" t="s">
        <v>446</v>
      </c>
      <c r="U9" s="16" t="s">
        <v>95</v>
      </c>
      <c r="V9" s="16" t="s">
        <v>453</v>
      </c>
      <c r="W9" s="16" t="s">
        <v>450</v>
      </c>
    </row>
    <row r="10" spans="1:23" x14ac:dyDescent="0.2">
      <c r="A10" s="9" t="s">
        <v>486</v>
      </c>
      <c r="B10" s="9">
        <f ca="1">+IF(A10=WORLDCUP!$BI$112,1,0)</f>
        <v>0</v>
      </c>
      <c r="C10" s="9" t="str">
        <f ca="1">+WORLDCUP!BD62</f>
        <v>Ivory Coast</v>
      </c>
      <c r="D10" s="9" t="str">
        <f ca="1">+WORLDCUP!BD64</f>
        <v>Iran</v>
      </c>
      <c r="E10" s="9" t="str">
        <f ca="1">+WORLDCUP!BD67</f>
        <v>Austria</v>
      </c>
      <c r="F10" s="9" t="str">
        <f ca="1">+WORLDCUP!BD61</f>
        <v>Australia</v>
      </c>
      <c r="G10" s="9" t="str">
        <f ca="1">+WORLDCUP!BD65</f>
        <v>Saudi Arabia</v>
      </c>
      <c r="H10" s="9" t="str">
        <f ca="1">+WORLDCUP!BD63</f>
        <v>Sweden</v>
      </c>
      <c r="I10" s="9" t="str">
        <f ca="1">+WORLDCUP!BD66</f>
        <v>Iraq</v>
      </c>
      <c r="J10" s="9" t="str">
        <f ca="1">+WORLDCUP!BD68</f>
        <v>Uzbekistan</v>
      </c>
      <c r="N10" s="16" t="s">
        <v>486</v>
      </c>
      <c r="O10" s="16">
        <v>9</v>
      </c>
      <c r="P10" s="16" t="s">
        <v>94</v>
      </c>
      <c r="Q10" s="16" t="s">
        <v>445</v>
      </c>
      <c r="R10" s="16" t="s">
        <v>451</v>
      </c>
      <c r="S10" s="16" t="s">
        <v>93</v>
      </c>
      <c r="T10" s="16" t="s">
        <v>446</v>
      </c>
      <c r="U10" s="16" t="s">
        <v>95</v>
      </c>
      <c r="V10" s="16" t="s">
        <v>450</v>
      </c>
      <c r="W10" s="16" t="s">
        <v>452</v>
      </c>
    </row>
    <row r="11" spans="1:23" x14ac:dyDescent="0.2">
      <c r="A11" s="9" t="s">
        <v>621</v>
      </c>
      <c r="B11" s="9">
        <f ca="1">+IF(A11=WORLDCUP!$BI$112,1,0)</f>
        <v>0</v>
      </c>
      <c r="C11" s="9" t="str">
        <f ca="1">+WORLDCUP!BD65</f>
        <v>Saudi Arabia</v>
      </c>
      <c r="D11" s="9" t="str">
        <f ca="1">+WORLDCUP!BD64</f>
        <v>Iran</v>
      </c>
      <c r="E11" s="9" t="str">
        <f ca="1">+WORLDCUP!BD66</f>
        <v>Iraq</v>
      </c>
      <c r="F11" s="9" t="str">
        <f ca="1">+WORLDCUP!BD60</f>
        <v>Haiti</v>
      </c>
      <c r="G11" s="9" t="str">
        <f ca="1">+WORLDCUP!BD67</f>
        <v>Austria</v>
      </c>
      <c r="H11" s="9" t="str">
        <f ca="1">+WORLDCUP!BD63</f>
        <v>Sweden</v>
      </c>
      <c r="I11" s="9" t="str">
        <f ca="1">+WORLDCUP!BD69</f>
        <v>Ghana</v>
      </c>
      <c r="J11" s="9" t="str">
        <f ca="1">+WORLDCUP!BD68</f>
        <v>Uzbekistan</v>
      </c>
      <c r="N11" s="16" t="s">
        <v>621</v>
      </c>
      <c r="O11" s="16">
        <v>10</v>
      </c>
      <c r="P11" s="16" t="s">
        <v>446</v>
      </c>
      <c r="Q11" s="16" t="s">
        <v>445</v>
      </c>
      <c r="R11" s="16" t="s">
        <v>450</v>
      </c>
      <c r="S11" s="16" t="s">
        <v>92</v>
      </c>
      <c r="T11" s="16" t="s">
        <v>451</v>
      </c>
      <c r="U11" s="16" t="s">
        <v>95</v>
      </c>
      <c r="V11" s="16" t="s">
        <v>453</v>
      </c>
      <c r="W11" s="16" t="s">
        <v>452</v>
      </c>
    </row>
    <row r="12" spans="1:23" x14ac:dyDescent="0.2">
      <c r="A12" s="9" t="s">
        <v>1197</v>
      </c>
      <c r="B12" s="9">
        <f ca="1">+IF(A12=WORLDCUP!$BI$112,1,0)</f>
        <v>0</v>
      </c>
      <c r="C12" s="9" t="str">
        <f ca="1">+WORLDCUP!BD62</f>
        <v>Ivory Coast</v>
      </c>
      <c r="D12" s="9" t="str">
        <f ca="1">+WORLDCUP!BD67</f>
        <v>Austria</v>
      </c>
      <c r="E12" s="9" t="str">
        <f ca="1">+WORLDCUP!BD66</f>
        <v>Iraq</v>
      </c>
      <c r="F12" s="9" t="str">
        <f ca="1">+WORLDCUP!BD60</f>
        <v>Haiti</v>
      </c>
      <c r="G12" s="9" t="str">
        <f ca="1">+WORLDCUP!BD65</f>
        <v>Saudi Arabia</v>
      </c>
      <c r="H12" s="9" t="str">
        <f ca="1">+WORLDCUP!BD64</f>
        <v>Iran</v>
      </c>
      <c r="I12" s="9" t="str">
        <f ca="1">+WORLDCUP!BD69</f>
        <v>Ghana</v>
      </c>
      <c r="J12" s="9" t="str">
        <f ca="1">+WORLDCUP!BD68</f>
        <v>Uzbekistan</v>
      </c>
      <c r="N12" s="16" t="s">
        <v>1197</v>
      </c>
      <c r="O12" s="16">
        <v>11</v>
      </c>
      <c r="P12" s="16" t="s">
        <v>94</v>
      </c>
      <c r="Q12" s="16" t="s">
        <v>451</v>
      </c>
      <c r="R12" s="16" t="s">
        <v>450</v>
      </c>
      <c r="S12" s="16" t="s">
        <v>92</v>
      </c>
      <c r="T12" s="16" t="s">
        <v>446</v>
      </c>
      <c r="U12" s="16" t="s">
        <v>445</v>
      </c>
      <c r="V12" s="16" t="s">
        <v>453</v>
      </c>
      <c r="W12" s="16" t="s">
        <v>452</v>
      </c>
    </row>
    <row r="13" spans="1:23" x14ac:dyDescent="0.2">
      <c r="A13" s="9" t="s">
        <v>1196</v>
      </c>
      <c r="B13" s="9">
        <f ca="1">+IF(A13=WORLDCUP!$BI$112,1,0)</f>
        <v>0</v>
      </c>
      <c r="C13" s="9" t="str">
        <f ca="1">+WORLDCUP!BD62</f>
        <v>Ivory Coast</v>
      </c>
      <c r="D13" s="9" t="str">
        <f ca="1">+WORLDCUP!BD67</f>
        <v>Austria</v>
      </c>
      <c r="E13" s="9" t="str">
        <f ca="1">+WORLDCUP!BD66</f>
        <v>Iraq</v>
      </c>
      <c r="F13" s="9" t="str">
        <f ca="1">+WORLDCUP!BD60</f>
        <v>Haiti</v>
      </c>
      <c r="G13" s="9" t="str">
        <f ca="1">+WORLDCUP!BD65</f>
        <v>Saudi Arabia</v>
      </c>
      <c r="H13" s="9" t="str">
        <f ca="1">+WORLDCUP!BD63</f>
        <v>Sweden</v>
      </c>
      <c r="I13" s="9" t="str">
        <f ca="1">+WORLDCUP!BD69</f>
        <v>Ghana</v>
      </c>
      <c r="J13" s="9" t="str">
        <f ca="1">+WORLDCUP!BD68</f>
        <v>Uzbekistan</v>
      </c>
      <c r="N13" s="16" t="s">
        <v>1196</v>
      </c>
      <c r="O13" s="16">
        <v>12</v>
      </c>
      <c r="P13" s="16" t="s">
        <v>94</v>
      </c>
      <c r="Q13" s="16" t="s">
        <v>451</v>
      </c>
      <c r="R13" s="16" t="s">
        <v>450</v>
      </c>
      <c r="S13" s="16" t="s">
        <v>92</v>
      </c>
      <c r="T13" s="16" t="s">
        <v>446</v>
      </c>
      <c r="U13" s="16" t="s">
        <v>95</v>
      </c>
      <c r="V13" s="16" t="s">
        <v>453</v>
      </c>
      <c r="W13" s="16" t="s">
        <v>452</v>
      </c>
    </row>
    <row r="14" spans="1:23" x14ac:dyDescent="0.2">
      <c r="A14" s="9" t="s">
        <v>1195</v>
      </c>
      <c r="B14" s="9">
        <f ca="1">+IF(A14=WORLDCUP!$BI$112,1,0)</f>
        <v>0</v>
      </c>
      <c r="C14" s="9" t="str">
        <f ca="1">+WORLDCUP!BD62</f>
        <v>Ivory Coast</v>
      </c>
      <c r="D14" s="9" t="str">
        <f ca="1">+WORLDCUP!BD64</f>
        <v>Iran</v>
      </c>
      <c r="E14" s="9" t="str">
        <f ca="1">+WORLDCUP!BD66</f>
        <v>Iraq</v>
      </c>
      <c r="F14" s="9" t="str">
        <f ca="1">+WORLDCUP!BD60</f>
        <v>Haiti</v>
      </c>
      <c r="G14" s="9" t="str">
        <f ca="1">+WORLDCUP!BD67</f>
        <v>Austria</v>
      </c>
      <c r="H14" s="9" t="str">
        <f ca="1">+WORLDCUP!BD63</f>
        <v>Sweden</v>
      </c>
      <c r="I14" s="9" t="str">
        <f ca="1">+WORLDCUP!BD69</f>
        <v>Ghana</v>
      </c>
      <c r="J14" s="9" t="str">
        <f ca="1">+WORLDCUP!BD68</f>
        <v>Uzbekistan</v>
      </c>
      <c r="N14" s="16" t="s">
        <v>1195</v>
      </c>
      <c r="O14" s="16">
        <v>13</v>
      </c>
      <c r="P14" s="16" t="s">
        <v>94</v>
      </c>
      <c r="Q14" s="16" t="s">
        <v>445</v>
      </c>
      <c r="R14" s="16" t="s">
        <v>450</v>
      </c>
      <c r="S14" s="16" t="s">
        <v>92</v>
      </c>
      <c r="T14" s="16" t="s">
        <v>451</v>
      </c>
      <c r="U14" s="16" t="s">
        <v>95</v>
      </c>
      <c r="V14" s="16" t="s">
        <v>453</v>
      </c>
      <c r="W14" s="16" t="s">
        <v>452</v>
      </c>
    </row>
    <row r="15" spans="1:23" x14ac:dyDescent="0.2">
      <c r="A15" s="9" t="s">
        <v>1194</v>
      </c>
      <c r="B15" s="9">
        <f ca="1">+IF(A15=WORLDCUP!$BI$112,1,0)</f>
        <v>0</v>
      </c>
      <c r="C15" s="9" t="str">
        <f ca="1">+WORLDCUP!BD62</f>
        <v>Ivory Coast</v>
      </c>
      <c r="D15" s="9" t="str">
        <f ca="1">+WORLDCUP!BD64</f>
        <v>Iran</v>
      </c>
      <c r="E15" s="9" t="str">
        <f ca="1">+WORLDCUP!BD67</f>
        <v>Austria</v>
      </c>
      <c r="F15" s="9" t="str">
        <f ca="1">+WORLDCUP!BD60</f>
        <v>Haiti</v>
      </c>
      <c r="G15" s="9" t="str">
        <f ca="1">+WORLDCUP!BD65</f>
        <v>Saudi Arabia</v>
      </c>
      <c r="H15" s="9" t="str">
        <f ca="1">+WORLDCUP!BD63</f>
        <v>Sweden</v>
      </c>
      <c r="I15" s="9" t="str">
        <f ca="1">+WORLDCUP!BD69</f>
        <v>Ghana</v>
      </c>
      <c r="J15" s="9" t="str">
        <f ca="1">+WORLDCUP!BD68</f>
        <v>Uzbekistan</v>
      </c>
      <c r="N15" s="16" t="s">
        <v>1194</v>
      </c>
      <c r="O15" s="16">
        <v>14</v>
      </c>
      <c r="P15" s="16" t="s">
        <v>94</v>
      </c>
      <c r="Q15" s="16" t="s">
        <v>445</v>
      </c>
      <c r="R15" s="16" t="s">
        <v>451</v>
      </c>
      <c r="S15" s="16" t="s">
        <v>92</v>
      </c>
      <c r="T15" s="16" t="s">
        <v>446</v>
      </c>
      <c r="U15" s="16" t="s">
        <v>95</v>
      </c>
      <c r="V15" s="16" t="s">
        <v>453</v>
      </c>
      <c r="W15" s="16" t="s">
        <v>452</v>
      </c>
    </row>
    <row r="16" spans="1:23" x14ac:dyDescent="0.2">
      <c r="A16" s="9" t="s">
        <v>620</v>
      </c>
      <c r="B16" s="9">
        <f ca="1">+IF(A16=WORLDCUP!$BI$112,1,0)</f>
        <v>0</v>
      </c>
      <c r="C16" s="9" t="str">
        <f ca="1">+WORLDCUP!BD62</f>
        <v>Ivory Coast</v>
      </c>
      <c r="D16" s="9" t="str">
        <f ca="1">+WORLDCUP!BD64</f>
        <v>Iran</v>
      </c>
      <c r="E16" s="9" t="str">
        <f ca="1">+WORLDCUP!BD66</f>
        <v>Iraq</v>
      </c>
      <c r="F16" s="9" t="str">
        <f ca="1">+WORLDCUP!BD60</f>
        <v>Haiti</v>
      </c>
      <c r="G16" s="9" t="str">
        <f ca="1">+WORLDCUP!BD65</f>
        <v>Saudi Arabia</v>
      </c>
      <c r="H16" s="9" t="str">
        <f ca="1">+WORLDCUP!BD63</f>
        <v>Sweden</v>
      </c>
      <c r="I16" s="9" t="str">
        <f ca="1">+WORLDCUP!BD69</f>
        <v>Ghana</v>
      </c>
      <c r="J16" s="9" t="str">
        <f ca="1">+WORLDCUP!BD68</f>
        <v>Uzbekistan</v>
      </c>
      <c r="N16" s="16" t="s">
        <v>620</v>
      </c>
      <c r="O16" s="16">
        <v>15</v>
      </c>
      <c r="P16" s="16" t="s">
        <v>94</v>
      </c>
      <c r="Q16" s="16" t="s">
        <v>445</v>
      </c>
      <c r="R16" s="16" t="s">
        <v>450</v>
      </c>
      <c r="S16" s="16" t="s">
        <v>92</v>
      </c>
      <c r="T16" s="16" t="s">
        <v>446</v>
      </c>
      <c r="U16" s="16" t="s">
        <v>95</v>
      </c>
      <c r="V16" s="16" t="s">
        <v>453</v>
      </c>
      <c r="W16" s="16" t="s">
        <v>452</v>
      </c>
    </row>
    <row r="17" spans="1:23" x14ac:dyDescent="0.2">
      <c r="A17" s="9" t="s">
        <v>619</v>
      </c>
      <c r="B17" s="9">
        <f ca="1">+IF(A17=WORLDCUP!$BI$112,1,0)</f>
        <v>0</v>
      </c>
      <c r="C17" s="9" t="str">
        <f ca="1">+WORLDCUP!BD62</f>
        <v>Ivory Coast</v>
      </c>
      <c r="D17" s="9" t="str">
        <f ca="1">+WORLDCUP!BD64</f>
        <v>Iran</v>
      </c>
      <c r="E17" s="9" t="str">
        <f ca="1">+WORLDCUP!BD67</f>
        <v>Austria</v>
      </c>
      <c r="F17" s="9" t="str">
        <f ca="1">+WORLDCUP!BD60</f>
        <v>Haiti</v>
      </c>
      <c r="G17" s="9" t="str">
        <f ca="1">+WORLDCUP!BD65</f>
        <v>Saudi Arabia</v>
      </c>
      <c r="H17" s="9" t="str">
        <f ca="1">+WORLDCUP!BD63</f>
        <v>Sweden</v>
      </c>
      <c r="I17" s="9" t="str">
        <f ca="1">+WORLDCUP!BD69</f>
        <v>Ghana</v>
      </c>
      <c r="J17" s="9" t="str">
        <f ca="1">+WORLDCUP!BD66</f>
        <v>Iraq</v>
      </c>
      <c r="N17" s="16" t="s">
        <v>619</v>
      </c>
      <c r="O17" s="16">
        <v>16</v>
      </c>
      <c r="P17" s="16" t="s">
        <v>94</v>
      </c>
      <c r="Q17" s="16" t="s">
        <v>445</v>
      </c>
      <c r="R17" s="16" t="s">
        <v>451</v>
      </c>
      <c r="S17" s="16" t="s">
        <v>92</v>
      </c>
      <c r="T17" s="16" t="s">
        <v>446</v>
      </c>
      <c r="U17" s="16" t="s">
        <v>95</v>
      </c>
      <c r="V17" s="16" t="s">
        <v>453</v>
      </c>
      <c r="W17" s="16" t="s">
        <v>450</v>
      </c>
    </row>
    <row r="18" spans="1:23" x14ac:dyDescent="0.2">
      <c r="A18" s="9" t="s">
        <v>618</v>
      </c>
      <c r="B18" s="9">
        <f ca="1">+IF(A18=WORLDCUP!$BI$112,1,0)</f>
        <v>0</v>
      </c>
      <c r="C18" s="9" t="str">
        <f ca="1">+WORLDCUP!BD62</f>
        <v>Ivory Coast</v>
      </c>
      <c r="D18" s="9" t="str">
        <f ca="1">+WORLDCUP!BD64</f>
        <v>Iran</v>
      </c>
      <c r="E18" s="9" t="str">
        <f ca="1">+WORLDCUP!BD67</f>
        <v>Austria</v>
      </c>
      <c r="F18" s="9" t="str">
        <f ca="1">+WORLDCUP!BD60</f>
        <v>Haiti</v>
      </c>
      <c r="G18" s="9" t="str">
        <f ca="1">+WORLDCUP!BD65</f>
        <v>Saudi Arabia</v>
      </c>
      <c r="H18" s="9" t="str">
        <f ca="1">+WORLDCUP!BD63</f>
        <v>Sweden</v>
      </c>
      <c r="I18" s="9" t="str">
        <f ca="1">+WORLDCUP!BD66</f>
        <v>Iraq</v>
      </c>
      <c r="J18" s="9" t="str">
        <f ca="1">+WORLDCUP!BD68</f>
        <v>Uzbekistan</v>
      </c>
      <c r="N18" s="16" t="s">
        <v>618</v>
      </c>
      <c r="O18" s="16">
        <v>17</v>
      </c>
      <c r="P18" s="16" t="s">
        <v>94</v>
      </c>
      <c r="Q18" s="16" t="s">
        <v>445</v>
      </c>
      <c r="R18" s="16" t="s">
        <v>451</v>
      </c>
      <c r="S18" s="16" t="s">
        <v>92</v>
      </c>
      <c r="T18" s="16" t="s">
        <v>446</v>
      </c>
      <c r="U18" s="16" t="s">
        <v>95</v>
      </c>
      <c r="V18" s="16" t="s">
        <v>450</v>
      </c>
      <c r="W18" s="16" t="s">
        <v>452</v>
      </c>
    </row>
    <row r="19" spans="1:23" x14ac:dyDescent="0.2">
      <c r="A19" s="9" t="s">
        <v>1193</v>
      </c>
      <c r="B19" s="9">
        <f ca="1">+IF(A19=WORLDCUP!$BI$112,1,0)</f>
        <v>0</v>
      </c>
      <c r="C19" s="9" t="str">
        <f ca="1">+WORLDCUP!BD65</f>
        <v>Saudi Arabia</v>
      </c>
      <c r="D19" s="9" t="str">
        <f ca="1">+WORLDCUP!BD64</f>
        <v>Iran</v>
      </c>
      <c r="E19" s="9" t="str">
        <f ca="1">+WORLDCUP!BD66</f>
        <v>Iraq</v>
      </c>
      <c r="F19" s="9" t="str">
        <f ca="1">+WORLDCUP!BD60</f>
        <v>Haiti</v>
      </c>
      <c r="G19" s="9" t="str">
        <f ca="1">+WORLDCUP!BD67</f>
        <v>Austria</v>
      </c>
      <c r="H19" s="9" t="str">
        <f ca="1">+WORLDCUP!BD61</f>
        <v>Australia</v>
      </c>
      <c r="I19" s="9" t="str">
        <f ca="1">+WORLDCUP!BD69</f>
        <v>Ghana</v>
      </c>
      <c r="J19" s="9" t="str">
        <f ca="1">+WORLDCUP!BD68</f>
        <v>Uzbekistan</v>
      </c>
      <c r="N19" s="16" t="s">
        <v>1193</v>
      </c>
      <c r="O19" s="16">
        <v>18</v>
      </c>
      <c r="P19" s="16" t="s">
        <v>446</v>
      </c>
      <c r="Q19" s="16" t="s">
        <v>445</v>
      </c>
      <c r="R19" s="16" t="s">
        <v>450</v>
      </c>
      <c r="S19" s="16" t="s">
        <v>92</v>
      </c>
      <c r="T19" s="16" t="s">
        <v>451</v>
      </c>
      <c r="U19" s="16" t="s">
        <v>93</v>
      </c>
      <c r="V19" s="16" t="s">
        <v>453</v>
      </c>
      <c r="W19" s="16" t="s">
        <v>452</v>
      </c>
    </row>
    <row r="20" spans="1:23" x14ac:dyDescent="0.2">
      <c r="A20" s="9" t="s">
        <v>1192</v>
      </c>
      <c r="B20" s="9">
        <f ca="1">+IF(A20=WORLDCUP!$BI$112,1,0)</f>
        <v>0</v>
      </c>
      <c r="C20" s="9" t="str">
        <f ca="1">+WORLDCUP!BD60</f>
        <v>Haiti</v>
      </c>
      <c r="D20" s="9" t="str">
        <f ca="1">+WORLDCUP!BD67</f>
        <v>Austria</v>
      </c>
      <c r="E20" s="9" t="str">
        <f ca="1">+WORLDCUP!BD66</f>
        <v>Iraq</v>
      </c>
      <c r="F20" s="9" t="str">
        <f ca="1">+WORLDCUP!BD61</f>
        <v>Australia</v>
      </c>
      <c r="G20" s="9" t="str">
        <f ca="1">+WORLDCUP!BD65</f>
        <v>Saudi Arabia</v>
      </c>
      <c r="H20" s="9" t="str">
        <f ca="1">+WORLDCUP!BD63</f>
        <v>Sweden</v>
      </c>
      <c r="I20" s="9" t="str">
        <f ca="1">+WORLDCUP!BD69</f>
        <v>Ghana</v>
      </c>
      <c r="J20" s="9" t="str">
        <f ca="1">+WORLDCUP!BD68</f>
        <v>Uzbekistan</v>
      </c>
      <c r="N20" s="16" t="s">
        <v>1192</v>
      </c>
      <c r="O20" s="16">
        <v>19</v>
      </c>
      <c r="P20" s="16" t="s">
        <v>92</v>
      </c>
      <c r="Q20" s="16" t="s">
        <v>451</v>
      </c>
      <c r="R20" s="16" t="s">
        <v>450</v>
      </c>
      <c r="S20" s="16" t="s">
        <v>93</v>
      </c>
      <c r="T20" s="16" t="s">
        <v>446</v>
      </c>
      <c r="U20" s="16" t="s">
        <v>95</v>
      </c>
      <c r="V20" s="16" t="s">
        <v>453</v>
      </c>
      <c r="W20" s="16" t="s">
        <v>452</v>
      </c>
    </row>
    <row r="21" spans="1:23" x14ac:dyDescent="0.2">
      <c r="A21" s="9" t="s">
        <v>1191</v>
      </c>
      <c r="B21" s="9">
        <f ca="1">+IF(A21=WORLDCUP!$BI$112,1,0)</f>
        <v>0</v>
      </c>
      <c r="C21" s="9" t="str">
        <f ca="1">+WORLDCUP!BD60</f>
        <v>Haiti</v>
      </c>
      <c r="D21" s="9" t="str">
        <f ca="1">+WORLDCUP!BD64</f>
        <v>Iran</v>
      </c>
      <c r="E21" s="9" t="str">
        <f ca="1">+WORLDCUP!BD66</f>
        <v>Iraq</v>
      </c>
      <c r="F21" s="9" t="str">
        <f ca="1">+WORLDCUP!BD61</f>
        <v>Australia</v>
      </c>
      <c r="G21" s="9" t="str">
        <f ca="1">+WORLDCUP!BD67</f>
        <v>Austria</v>
      </c>
      <c r="H21" s="9" t="str">
        <f ca="1">+WORLDCUP!BD63</f>
        <v>Sweden</v>
      </c>
      <c r="I21" s="9" t="str">
        <f ca="1">+WORLDCUP!BD69</f>
        <v>Ghana</v>
      </c>
      <c r="J21" s="9" t="str">
        <f ca="1">+WORLDCUP!BD68</f>
        <v>Uzbekistan</v>
      </c>
      <c r="N21" s="16" t="s">
        <v>1191</v>
      </c>
      <c r="O21" s="16">
        <v>20</v>
      </c>
      <c r="P21" s="16" t="s">
        <v>92</v>
      </c>
      <c r="Q21" s="16" t="s">
        <v>445</v>
      </c>
      <c r="R21" s="16" t="s">
        <v>450</v>
      </c>
      <c r="S21" s="16" t="s">
        <v>93</v>
      </c>
      <c r="T21" s="16" t="s">
        <v>451</v>
      </c>
      <c r="U21" s="16" t="s">
        <v>95</v>
      </c>
      <c r="V21" s="16" t="s">
        <v>453</v>
      </c>
      <c r="W21" s="16" t="s">
        <v>452</v>
      </c>
    </row>
    <row r="22" spans="1:23" x14ac:dyDescent="0.2">
      <c r="A22" s="9" t="s">
        <v>1190</v>
      </c>
      <c r="B22" s="9">
        <f ca="1">+IF(A22=WORLDCUP!$BI$112,1,0)</f>
        <v>0</v>
      </c>
      <c r="C22" s="9" t="str">
        <f ca="1">+WORLDCUP!BD60</f>
        <v>Haiti</v>
      </c>
      <c r="D22" s="9" t="str">
        <f ca="1">+WORLDCUP!BD64</f>
        <v>Iran</v>
      </c>
      <c r="E22" s="9" t="str">
        <f ca="1">+WORLDCUP!BD67</f>
        <v>Austria</v>
      </c>
      <c r="F22" s="9" t="str">
        <f ca="1">+WORLDCUP!BD61</f>
        <v>Australia</v>
      </c>
      <c r="G22" s="9" t="str">
        <f ca="1">+WORLDCUP!BD65</f>
        <v>Saudi Arabia</v>
      </c>
      <c r="H22" s="9" t="str">
        <f ca="1">+WORLDCUP!BD63</f>
        <v>Sweden</v>
      </c>
      <c r="I22" s="9" t="str">
        <f ca="1">+WORLDCUP!BD69</f>
        <v>Ghana</v>
      </c>
      <c r="J22" s="9" t="str">
        <f ca="1">+WORLDCUP!BD68</f>
        <v>Uzbekistan</v>
      </c>
      <c r="N22" s="16" t="s">
        <v>1190</v>
      </c>
      <c r="O22" s="16">
        <v>21</v>
      </c>
      <c r="P22" s="16" t="s">
        <v>92</v>
      </c>
      <c r="Q22" s="16" t="s">
        <v>445</v>
      </c>
      <c r="R22" s="16" t="s">
        <v>451</v>
      </c>
      <c r="S22" s="16" t="s">
        <v>93</v>
      </c>
      <c r="T22" s="16" t="s">
        <v>446</v>
      </c>
      <c r="U22" s="16" t="s">
        <v>95</v>
      </c>
      <c r="V22" s="16" t="s">
        <v>453</v>
      </c>
      <c r="W22" s="16" t="s">
        <v>452</v>
      </c>
    </row>
    <row r="23" spans="1:23" x14ac:dyDescent="0.2">
      <c r="A23" s="9" t="s">
        <v>1189</v>
      </c>
      <c r="B23" s="9">
        <f ca="1">+IF(A23=WORLDCUP!$BI$112,1,0)</f>
        <v>0</v>
      </c>
      <c r="C23" s="9" t="str">
        <f ca="1">+WORLDCUP!BD60</f>
        <v>Haiti</v>
      </c>
      <c r="D23" s="9" t="str">
        <f ca="1">+WORLDCUP!BD64</f>
        <v>Iran</v>
      </c>
      <c r="E23" s="9" t="str">
        <f ca="1">+WORLDCUP!BD66</f>
        <v>Iraq</v>
      </c>
      <c r="F23" s="9" t="str">
        <f ca="1">+WORLDCUP!BD61</f>
        <v>Australia</v>
      </c>
      <c r="G23" s="9" t="str">
        <f ca="1">+WORLDCUP!BD65</f>
        <v>Saudi Arabia</v>
      </c>
      <c r="H23" s="9" t="str">
        <f ca="1">+WORLDCUP!BD63</f>
        <v>Sweden</v>
      </c>
      <c r="I23" s="9" t="str">
        <f ca="1">+WORLDCUP!BD69</f>
        <v>Ghana</v>
      </c>
      <c r="J23" s="9" t="str">
        <f ca="1">+WORLDCUP!BD68</f>
        <v>Uzbekistan</v>
      </c>
      <c r="N23" s="16" t="s">
        <v>1189</v>
      </c>
      <c r="O23" s="16">
        <v>22</v>
      </c>
      <c r="P23" s="16" t="s">
        <v>92</v>
      </c>
      <c r="Q23" s="16" t="s">
        <v>445</v>
      </c>
      <c r="R23" s="16" t="s">
        <v>450</v>
      </c>
      <c r="S23" s="16" t="s">
        <v>93</v>
      </c>
      <c r="T23" s="16" t="s">
        <v>446</v>
      </c>
      <c r="U23" s="16" t="s">
        <v>95</v>
      </c>
      <c r="V23" s="16" t="s">
        <v>453</v>
      </c>
      <c r="W23" s="16" t="s">
        <v>452</v>
      </c>
    </row>
    <row r="24" spans="1:23" x14ac:dyDescent="0.2">
      <c r="A24" s="9" t="s">
        <v>1188</v>
      </c>
      <c r="B24" s="9">
        <f ca="1">+IF(A24=WORLDCUP!$BI$112,1,0)</f>
        <v>0</v>
      </c>
      <c r="C24" s="9" t="str">
        <f ca="1">+WORLDCUP!BD60</f>
        <v>Haiti</v>
      </c>
      <c r="D24" s="9" t="str">
        <f ca="1">+WORLDCUP!BD64</f>
        <v>Iran</v>
      </c>
      <c r="E24" s="9" t="str">
        <f ca="1">+WORLDCUP!BD67</f>
        <v>Austria</v>
      </c>
      <c r="F24" s="9" t="str">
        <f ca="1">+WORLDCUP!BD61</f>
        <v>Australia</v>
      </c>
      <c r="G24" s="9" t="str">
        <f ca="1">+WORLDCUP!BD65</f>
        <v>Saudi Arabia</v>
      </c>
      <c r="H24" s="9" t="str">
        <f ca="1">+WORLDCUP!BD63</f>
        <v>Sweden</v>
      </c>
      <c r="I24" s="9" t="str">
        <f ca="1">+WORLDCUP!BD69</f>
        <v>Ghana</v>
      </c>
      <c r="J24" s="9" t="str">
        <f ca="1">+WORLDCUP!BD66</f>
        <v>Iraq</v>
      </c>
      <c r="N24" s="16" t="s">
        <v>1188</v>
      </c>
      <c r="O24" s="16">
        <v>23</v>
      </c>
      <c r="P24" s="16" t="s">
        <v>92</v>
      </c>
      <c r="Q24" s="16" t="s">
        <v>445</v>
      </c>
      <c r="R24" s="16" t="s">
        <v>451</v>
      </c>
      <c r="S24" s="16" t="s">
        <v>93</v>
      </c>
      <c r="T24" s="16" t="s">
        <v>446</v>
      </c>
      <c r="U24" s="16" t="s">
        <v>95</v>
      </c>
      <c r="V24" s="16" t="s">
        <v>453</v>
      </c>
      <c r="W24" s="16" t="s">
        <v>450</v>
      </c>
    </row>
    <row r="25" spans="1:23" x14ac:dyDescent="0.2">
      <c r="A25" s="9" t="s">
        <v>1187</v>
      </c>
      <c r="B25" s="9">
        <f ca="1">+IF(A25=WORLDCUP!$BI$112,1,0)</f>
        <v>0</v>
      </c>
      <c r="C25" s="9" t="str">
        <f ca="1">+WORLDCUP!BD60</f>
        <v>Haiti</v>
      </c>
      <c r="D25" s="9" t="str">
        <f ca="1">+WORLDCUP!BD64</f>
        <v>Iran</v>
      </c>
      <c r="E25" s="9" t="str">
        <f ca="1">+WORLDCUP!BD67</f>
        <v>Austria</v>
      </c>
      <c r="F25" s="9" t="str">
        <f ca="1">+WORLDCUP!BD61</f>
        <v>Australia</v>
      </c>
      <c r="G25" s="9" t="str">
        <f ca="1">+WORLDCUP!BD65</f>
        <v>Saudi Arabia</v>
      </c>
      <c r="H25" s="9" t="str">
        <f ca="1">+WORLDCUP!BD63</f>
        <v>Sweden</v>
      </c>
      <c r="I25" s="9" t="str">
        <f ca="1">+WORLDCUP!BD66</f>
        <v>Iraq</v>
      </c>
      <c r="J25" s="9" t="str">
        <f ca="1">+WORLDCUP!BD68</f>
        <v>Uzbekistan</v>
      </c>
      <c r="N25" s="16" t="s">
        <v>1187</v>
      </c>
      <c r="O25" s="16">
        <v>24</v>
      </c>
      <c r="P25" s="16" t="s">
        <v>92</v>
      </c>
      <c r="Q25" s="16" t="s">
        <v>445</v>
      </c>
      <c r="R25" s="16" t="s">
        <v>451</v>
      </c>
      <c r="S25" s="16" t="s">
        <v>93</v>
      </c>
      <c r="T25" s="16" t="s">
        <v>446</v>
      </c>
      <c r="U25" s="16" t="s">
        <v>95</v>
      </c>
      <c r="V25" s="16" t="s">
        <v>450</v>
      </c>
      <c r="W25" s="16" t="s">
        <v>452</v>
      </c>
    </row>
    <row r="26" spans="1:23" x14ac:dyDescent="0.2">
      <c r="A26" s="9" t="s">
        <v>1186</v>
      </c>
      <c r="B26" s="9">
        <f ca="1">+IF(A26=WORLDCUP!$BI$112,1,0)</f>
        <v>0</v>
      </c>
      <c r="C26" s="9" t="str">
        <f ca="1">+WORLDCUP!BD62</f>
        <v>Ivory Coast</v>
      </c>
      <c r="D26" s="9" t="str">
        <f ca="1">+WORLDCUP!BD67</f>
        <v>Austria</v>
      </c>
      <c r="E26" s="9" t="str">
        <f ca="1">+WORLDCUP!BD66</f>
        <v>Iraq</v>
      </c>
      <c r="F26" s="9" t="str">
        <f ca="1">+WORLDCUP!BD60</f>
        <v>Haiti</v>
      </c>
      <c r="G26" s="9" t="str">
        <f ca="1">+WORLDCUP!BD65</f>
        <v>Saudi Arabia</v>
      </c>
      <c r="H26" s="9" t="str">
        <f ca="1">+WORLDCUP!BD61</f>
        <v>Australia</v>
      </c>
      <c r="I26" s="9" t="str">
        <f ca="1">+WORLDCUP!BD69</f>
        <v>Ghana</v>
      </c>
      <c r="J26" s="9" t="str">
        <f ca="1">+WORLDCUP!BD68</f>
        <v>Uzbekistan</v>
      </c>
      <c r="N26" s="16" t="s">
        <v>1186</v>
      </c>
      <c r="O26" s="16">
        <v>25</v>
      </c>
      <c r="P26" s="16" t="s">
        <v>94</v>
      </c>
      <c r="Q26" s="16" t="s">
        <v>451</v>
      </c>
      <c r="R26" s="16" t="s">
        <v>450</v>
      </c>
      <c r="S26" s="16" t="s">
        <v>92</v>
      </c>
      <c r="T26" s="16" t="s">
        <v>446</v>
      </c>
      <c r="U26" s="16" t="s">
        <v>93</v>
      </c>
      <c r="V26" s="16" t="s">
        <v>453</v>
      </c>
      <c r="W26" s="16" t="s">
        <v>452</v>
      </c>
    </row>
    <row r="27" spans="1:23" x14ac:dyDescent="0.2">
      <c r="A27" s="9" t="s">
        <v>1185</v>
      </c>
      <c r="B27" s="9">
        <f ca="1">+IF(A27=WORLDCUP!$BI$112,1,0)</f>
        <v>0</v>
      </c>
      <c r="C27" s="9" t="str">
        <f ca="1">+WORLDCUP!BD62</f>
        <v>Ivory Coast</v>
      </c>
      <c r="D27" s="9" t="str">
        <f ca="1">+WORLDCUP!BD64</f>
        <v>Iran</v>
      </c>
      <c r="E27" s="9" t="str">
        <f ca="1">+WORLDCUP!BD66</f>
        <v>Iraq</v>
      </c>
      <c r="F27" s="9" t="str">
        <f ca="1">+WORLDCUP!BD60</f>
        <v>Haiti</v>
      </c>
      <c r="G27" s="9" t="str">
        <f ca="1">+WORLDCUP!BD67</f>
        <v>Austria</v>
      </c>
      <c r="H27" s="9" t="str">
        <f ca="1">+WORLDCUP!BD61</f>
        <v>Australia</v>
      </c>
      <c r="I27" s="9" t="str">
        <f ca="1">+WORLDCUP!BD69</f>
        <v>Ghana</v>
      </c>
      <c r="J27" s="9" t="str">
        <f ca="1">+WORLDCUP!BD68</f>
        <v>Uzbekistan</v>
      </c>
      <c r="N27" s="16" t="s">
        <v>1185</v>
      </c>
      <c r="O27" s="16">
        <v>26</v>
      </c>
      <c r="P27" s="16" t="s">
        <v>94</v>
      </c>
      <c r="Q27" s="16" t="s">
        <v>445</v>
      </c>
      <c r="R27" s="16" t="s">
        <v>450</v>
      </c>
      <c r="S27" s="16" t="s">
        <v>92</v>
      </c>
      <c r="T27" s="16" t="s">
        <v>451</v>
      </c>
      <c r="U27" s="16" t="s">
        <v>93</v>
      </c>
      <c r="V27" s="16" t="s">
        <v>453</v>
      </c>
      <c r="W27" s="16" t="s">
        <v>452</v>
      </c>
    </row>
    <row r="28" spans="1:23" x14ac:dyDescent="0.2">
      <c r="A28" s="9" t="s">
        <v>1184</v>
      </c>
      <c r="B28" s="9">
        <f ca="1">+IF(A28=WORLDCUP!$BI$112,1,0)</f>
        <v>0</v>
      </c>
      <c r="C28" s="9" t="str">
        <f ca="1">+WORLDCUP!BD62</f>
        <v>Ivory Coast</v>
      </c>
      <c r="D28" s="9" t="str">
        <f ca="1">+WORLDCUP!BD64</f>
        <v>Iran</v>
      </c>
      <c r="E28" s="9" t="str">
        <f ca="1">+WORLDCUP!BD67</f>
        <v>Austria</v>
      </c>
      <c r="F28" s="9" t="str">
        <f ca="1">+WORLDCUP!BD60</f>
        <v>Haiti</v>
      </c>
      <c r="G28" s="9" t="str">
        <f ca="1">+WORLDCUP!BD65</f>
        <v>Saudi Arabia</v>
      </c>
      <c r="H28" s="9" t="str">
        <f ca="1">+WORLDCUP!BD61</f>
        <v>Australia</v>
      </c>
      <c r="I28" s="9" t="str">
        <f ca="1">+WORLDCUP!BD69</f>
        <v>Ghana</v>
      </c>
      <c r="J28" s="9" t="str">
        <f ca="1">+WORLDCUP!BD68</f>
        <v>Uzbekistan</v>
      </c>
      <c r="N28" s="16" t="s">
        <v>1184</v>
      </c>
      <c r="O28" s="16">
        <v>27</v>
      </c>
      <c r="P28" s="16" t="s">
        <v>94</v>
      </c>
      <c r="Q28" s="16" t="s">
        <v>445</v>
      </c>
      <c r="R28" s="16" t="s">
        <v>451</v>
      </c>
      <c r="S28" s="16" t="s">
        <v>92</v>
      </c>
      <c r="T28" s="16" t="s">
        <v>446</v>
      </c>
      <c r="U28" s="16" t="s">
        <v>93</v>
      </c>
      <c r="V28" s="16" t="s">
        <v>453</v>
      </c>
      <c r="W28" s="16" t="s">
        <v>452</v>
      </c>
    </row>
    <row r="29" spans="1:23" x14ac:dyDescent="0.2">
      <c r="A29" s="9" t="s">
        <v>1183</v>
      </c>
      <c r="B29" s="9">
        <f ca="1">+IF(A29=WORLDCUP!$BI$112,1,0)</f>
        <v>0</v>
      </c>
      <c r="C29" s="9" t="str">
        <f ca="1">+WORLDCUP!BD62</f>
        <v>Ivory Coast</v>
      </c>
      <c r="D29" s="9" t="str">
        <f ca="1">+WORLDCUP!BD64</f>
        <v>Iran</v>
      </c>
      <c r="E29" s="9" t="str">
        <f ca="1">+WORLDCUP!BD66</f>
        <v>Iraq</v>
      </c>
      <c r="F29" s="9" t="str">
        <f ca="1">+WORLDCUP!BD60</f>
        <v>Haiti</v>
      </c>
      <c r="G29" s="9" t="str">
        <f ca="1">+WORLDCUP!BD65</f>
        <v>Saudi Arabia</v>
      </c>
      <c r="H29" s="9" t="str">
        <f ca="1">+WORLDCUP!BD61</f>
        <v>Australia</v>
      </c>
      <c r="I29" s="9" t="str">
        <f ca="1">+WORLDCUP!BD69</f>
        <v>Ghana</v>
      </c>
      <c r="J29" s="9" t="str">
        <f ca="1">+WORLDCUP!BD68</f>
        <v>Uzbekistan</v>
      </c>
      <c r="N29" s="16" t="s">
        <v>1183</v>
      </c>
      <c r="O29" s="16">
        <v>28</v>
      </c>
      <c r="P29" s="16" t="s">
        <v>94</v>
      </c>
      <c r="Q29" s="16" t="s">
        <v>445</v>
      </c>
      <c r="R29" s="16" t="s">
        <v>450</v>
      </c>
      <c r="S29" s="16" t="s">
        <v>92</v>
      </c>
      <c r="T29" s="16" t="s">
        <v>446</v>
      </c>
      <c r="U29" s="16" t="s">
        <v>93</v>
      </c>
      <c r="V29" s="16" t="s">
        <v>453</v>
      </c>
      <c r="W29" s="16" t="s">
        <v>452</v>
      </c>
    </row>
    <row r="30" spans="1:23" x14ac:dyDescent="0.2">
      <c r="A30" s="9" t="s">
        <v>1182</v>
      </c>
      <c r="B30" s="9">
        <f ca="1">+IF(A30=WORLDCUP!$BI$112,1,0)</f>
        <v>0</v>
      </c>
      <c r="C30" s="9" t="str">
        <f ca="1">+WORLDCUP!BD62</f>
        <v>Ivory Coast</v>
      </c>
      <c r="D30" s="9" t="str">
        <f ca="1">+WORLDCUP!BD64</f>
        <v>Iran</v>
      </c>
      <c r="E30" s="9" t="str">
        <f ca="1">+WORLDCUP!BD67</f>
        <v>Austria</v>
      </c>
      <c r="F30" s="9" t="str">
        <f ca="1">+WORLDCUP!BD60</f>
        <v>Haiti</v>
      </c>
      <c r="G30" s="9" t="str">
        <f ca="1">+WORLDCUP!BD65</f>
        <v>Saudi Arabia</v>
      </c>
      <c r="H30" s="9" t="str">
        <f ca="1">+WORLDCUP!BD61</f>
        <v>Australia</v>
      </c>
      <c r="I30" s="9" t="str">
        <f ca="1">+WORLDCUP!BD69</f>
        <v>Ghana</v>
      </c>
      <c r="J30" s="9" t="str">
        <f ca="1">+WORLDCUP!BD66</f>
        <v>Iraq</v>
      </c>
      <c r="N30" s="16" t="s">
        <v>1182</v>
      </c>
      <c r="O30" s="16">
        <v>29</v>
      </c>
      <c r="P30" s="16" t="s">
        <v>94</v>
      </c>
      <c r="Q30" s="16" t="s">
        <v>445</v>
      </c>
      <c r="R30" s="16" t="s">
        <v>451</v>
      </c>
      <c r="S30" s="16" t="s">
        <v>92</v>
      </c>
      <c r="T30" s="16" t="s">
        <v>446</v>
      </c>
      <c r="U30" s="16" t="s">
        <v>93</v>
      </c>
      <c r="V30" s="16" t="s">
        <v>453</v>
      </c>
      <c r="W30" s="16" t="s">
        <v>450</v>
      </c>
    </row>
    <row r="31" spans="1:23" x14ac:dyDescent="0.2">
      <c r="A31" s="9" t="s">
        <v>1181</v>
      </c>
      <c r="B31" s="9">
        <f ca="1">+IF(A31=WORLDCUP!$BI$112,1,0)</f>
        <v>0</v>
      </c>
      <c r="C31" s="9" t="str">
        <f ca="1">+WORLDCUP!BD62</f>
        <v>Ivory Coast</v>
      </c>
      <c r="D31" s="9" t="str">
        <f ca="1">+WORLDCUP!BD64</f>
        <v>Iran</v>
      </c>
      <c r="E31" s="9" t="str">
        <f ca="1">+WORLDCUP!BD67</f>
        <v>Austria</v>
      </c>
      <c r="F31" s="9" t="str">
        <f ca="1">+WORLDCUP!BD60</f>
        <v>Haiti</v>
      </c>
      <c r="G31" s="9" t="str">
        <f ca="1">+WORLDCUP!BD65</f>
        <v>Saudi Arabia</v>
      </c>
      <c r="H31" s="9" t="str">
        <f ca="1">+WORLDCUP!BD61</f>
        <v>Australia</v>
      </c>
      <c r="I31" s="9" t="str">
        <f ca="1">+WORLDCUP!BD66</f>
        <v>Iraq</v>
      </c>
      <c r="J31" s="9" t="str">
        <f ca="1">+WORLDCUP!BD68</f>
        <v>Uzbekistan</v>
      </c>
      <c r="N31" s="16" t="s">
        <v>1181</v>
      </c>
      <c r="O31" s="16">
        <v>30</v>
      </c>
      <c r="P31" s="16" t="s">
        <v>94</v>
      </c>
      <c r="Q31" s="16" t="s">
        <v>445</v>
      </c>
      <c r="R31" s="16" t="s">
        <v>451</v>
      </c>
      <c r="S31" s="16" t="s">
        <v>92</v>
      </c>
      <c r="T31" s="16" t="s">
        <v>446</v>
      </c>
      <c r="U31" s="16" t="s">
        <v>93</v>
      </c>
      <c r="V31" s="16" t="s">
        <v>450</v>
      </c>
      <c r="W31" s="16" t="s">
        <v>452</v>
      </c>
    </row>
    <row r="32" spans="1:23" x14ac:dyDescent="0.2">
      <c r="A32" s="9" t="s">
        <v>1180</v>
      </c>
      <c r="B32" s="9">
        <f ca="1">+IF(A32=WORLDCUP!$BI$112,1,0)</f>
        <v>0</v>
      </c>
      <c r="C32" s="9" t="str">
        <f ca="1">+WORLDCUP!BD60</f>
        <v>Haiti</v>
      </c>
      <c r="D32" s="9" t="str">
        <f ca="1">+WORLDCUP!BD67</f>
        <v>Austria</v>
      </c>
      <c r="E32" s="9" t="str">
        <f ca="1">+WORLDCUP!BD62</f>
        <v>Ivory Coast</v>
      </c>
      <c r="F32" s="9" t="str">
        <f ca="1">+WORLDCUP!BD61</f>
        <v>Australia</v>
      </c>
      <c r="G32" s="9" t="str">
        <f ca="1">+WORLDCUP!BD66</f>
        <v>Iraq</v>
      </c>
      <c r="H32" s="9" t="str">
        <f ca="1">+WORLDCUP!BD63</f>
        <v>Sweden</v>
      </c>
      <c r="I32" s="9" t="str">
        <f ca="1">+WORLDCUP!BD69</f>
        <v>Ghana</v>
      </c>
      <c r="J32" s="9" t="str">
        <f ca="1">+WORLDCUP!BD68</f>
        <v>Uzbekistan</v>
      </c>
      <c r="N32" s="16" t="s">
        <v>1180</v>
      </c>
      <c r="O32" s="16">
        <v>31</v>
      </c>
      <c r="P32" s="16" t="s">
        <v>92</v>
      </c>
      <c r="Q32" s="16" t="s">
        <v>451</v>
      </c>
      <c r="R32" s="16" t="s">
        <v>94</v>
      </c>
      <c r="S32" s="16" t="s">
        <v>93</v>
      </c>
      <c r="T32" s="16" t="s">
        <v>450</v>
      </c>
      <c r="U32" s="16" t="s">
        <v>95</v>
      </c>
      <c r="V32" s="16" t="s">
        <v>453</v>
      </c>
      <c r="W32" s="16" t="s">
        <v>452</v>
      </c>
    </row>
    <row r="33" spans="1:23" x14ac:dyDescent="0.2">
      <c r="A33" s="9" t="s">
        <v>1179</v>
      </c>
      <c r="B33" s="9">
        <f ca="1">+IF(A33=WORLDCUP!$BI$112,1,0)</f>
        <v>0</v>
      </c>
      <c r="C33" s="9" t="str">
        <f ca="1">+WORLDCUP!BD60</f>
        <v>Haiti</v>
      </c>
      <c r="D33" s="9" t="str">
        <f ca="1">+WORLDCUP!BD67</f>
        <v>Austria</v>
      </c>
      <c r="E33" s="9" t="str">
        <f ca="1">+WORLDCUP!BD62</f>
        <v>Ivory Coast</v>
      </c>
      <c r="F33" s="9" t="str">
        <f ca="1">+WORLDCUP!BD61</f>
        <v>Australia</v>
      </c>
      <c r="G33" s="9" t="str">
        <f ca="1">+WORLDCUP!BD65</f>
        <v>Saudi Arabia</v>
      </c>
      <c r="H33" s="9" t="str">
        <f ca="1">+WORLDCUP!BD63</f>
        <v>Sweden</v>
      </c>
      <c r="I33" s="9" t="str">
        <f ca="1">+WORLDCUP!BD69</f>
        <v>Ghana</v>
      </c>
      <c r="J33" s="9" t="str">
        <f ca="1">+WORLDCUP!BD68</f>
        <v>Uzbekistan</v>
      </c>
      <c r="N33" s="16" t="s">
        <v>1179</v>
      </c>
      <c r="O33" s="16">
        <v>32</v>
      </c>
      <c r="P33" s="16" t="s">
        <v>92</v>
      </c>
      <c r="Q33" s="16" t="s">
        <v>451</v>
      </c>
      <c r="R33" s="16" t="s">
        <v>94</v>
      </c>
      <c r="S33" s="16" t="s">
        <v>93</v>
      </c>
      <c r="T33" s="16" t="s">
        <v>446</v>
      </c>
      <c r="U33" s="16" t="s">
        <v>95</v>
      </c>
      <c r="V33" s="16" t="s">
        <v>453</v>
      </c>
      <c r="W33" s="16" t="s">
        <v>452</v>
      </c>
    </row>
    <row r="34" spans="1:23" x14ac:dyDescent="0.2">
      <c r="A34" s="9" t="s">
        <v>1178</v>
      </c>
      <c r="B34" s="9">
        <f ca="1">+IF(A34=WORLDCUP!$BI$112,1,0)</f>
        <v>0</v>
      </c>
      <c r="C34" s="9" t="str">
        <f ca="1">+WORLDCUP!BD60</f>
        <v>Haiti</v>
      </c>
      <c r="D34" s="9" t="str">
        <f ca="1">+WORLDCUP!BD62</f>
        <v>Ivory Coast</v>
      </c>
      <c r="E34" s="9" t="str">
        <f ca="1">+WORLDCUP!BD66</f>
        <v>Iraq</v>
      </c>
      <c r="F34" s="9" t="str">
        <f ca="1">+WORLDCUP!BD61</f>
        <v>Australia</v>
      </c>
      <c r="G34" s="9" t="str">
        <f ca="1">+WORLDCUP!BD65</f>
        <v>Saudi Arabia</v>
      </c>
      <c r="H34" s="9" t="str">
        <f ca="1">+WORLDCUP!BD63</f>
        <v>Sweden</v>
      </c>
      <c r="I34" s="9" t="str">
        <f ca="1">+WORLDCUP!BD69</f>
        <v>Ghana</v>
      </c>
      <c r="J34" s="9" t="str">
        <f ca="1">+WORLDCUP!BD68</f>
        <v>Uzbekistan</v>
      </c>
      <c r="N34" s="16" t="s">
        <v>1178</v>
      </c>
      <c r="O34" s="16">
        <v>33</v>
      </c>
      <c r="P34" s="16" t="s">
        <v>92</v>
      </c>
      <c r="Q34" s="16" t="s">
        <v>94</v>
      </c>
      <c r="R34" s="16" t="s">
        <v>450</v>
      </c>
      <c r="S34" s="16" t="s">
        <v>93</v>
      </c>
      <c r="T34" s="16" t="s">
        <v>446</v>
      </c>
      <c r="U34" s="16" t="s">
        <v>95</v>
      </c>
      <c r="V34" s="16" t="s">
        <v>453</v>
      </c>
      <c r="W34" s="16" t="s">
        <v>452</v>
      </c>
    </row>
    <row r="35" spans="1:23" x14ac:dyDescent="0.2">
      <c r="A35" s="9" t="s">
        <v>1177</v>
      </c>
      <c r="B35" s="9">
        <f ca="1">+IF(A35=WORLDCUP!$BI$112,1,0)</f>
        <v>0</v>
      </c>
      <c r="C35" s="9" t="str">
        <f ca="1">+WORLDCUP!BD60</f>
        <v>Haiti</v>
      </c>
      <c r="D35" s="9" t="str">
        <f ca="1">+WORLDCUP!BD67</f>
        <v>Austria</v>
      </c>
      <c r="E35" s="9" t="str">
        <f ca="1">+WORLDCUP!BD62</f>
        <v>Ivory Coast</v>
      </c>
      <c r="F35" s="9" t="str">
        <f ca="1">+WORLDCUP!BD61</f>
        <v>Australia</v>
      </c>
      <c r="G35" s="9" t="str">
        <f ca="1">+WORLDCUP!BD65</f>
        <v>Saudi Arabia</v>
      </c>
      <c r="H35" s="9" t="str">
        <f ca="1">+WORLDCUP!BD63</f>
        <v>Sweden</v>
      </c>
      <c r="I35" s="9" t="str">
        <f ca="1">+WORLDCUP!BD69</f>
        <v>Ghana</v>
      </c>
      <c r="J35" s="9" t="str">
        <f ca="1">+WORLDCUP!BD66</f>
        <v>Iraq</v>
      </c>
      <c r="N35" s="16" t="s">
        <v>1177</v>
      </c>
      <c r="O35" s="16">
        <v>34</v>
      </c>
      <c r="P35" s="16" t="s">
        <v>92</v>
      </c>
      <c r="Q35" s="16" t="s">
        <v>451</v>
      </c>
      <c r="R35" s="16" t="s">
        <v>94</v>
      </c>
      <c r="S35" s="16" t="s">
        <v>93</v>
      </c>
      <c r="T35" s="16" t="s">
        <v>446</v>
      </c>
      <c r="U35" s="16" t="s">
        <v>95</v>
      </c>
      <c r="V35" s="16" t="s">
        <v>453</v>
      </c>
      <c r="W35" s="16" t="s">
        <v>450</v>
      </c>
    </row>
    <row r="36" spans="1:23" x14ac:dyDescent="0.2">
      <c r="A36" s="9" t="s">
        <v>1176</v>
      </c>
      <c r="B36" s="9">
        <f ca="1">+IF(A36=WORLDCUP!$BI$112,1,0)</f>
        <v>0</v>
      </c>
      <c r="C36" s="9" t="str">
        <f ca="1">+WORLDCUP!BD60</f>
        <v>Haiti</v>
      </c>
      <c r="D36" s="9" t="str">
        <f ca="1">+WORLDCUP!BD67</f>
        <v>Austria</v>
      </c>
      <c r="E36" s="9" t="str">
        <f ca="1">+WORLDCUP!BD62</f>
        <v>Ivory Coast</v>
      </c>
      <c r="F36" s="9" t="str">
        <f ca="1">+WORLDCUP!BD61</f>
        <v>Australia</v>
      </c>
      <c r="G36" s="9" t="str">
        <f ca="1">+WORLDCUP!BD65</f>
        <v>Saudi Arabia</v>
      </c>
      <c r="H36" s="9" t="str">
        <f ca="1">+WORLDCUP!BD63</f>
        <v>Sweden</v>
      </c>
      <c r="I36" s="9" t="str">
        <f ca="1">+WORLDCUP!BD66</f>
        <v>Iraq</v>
      </c>
      <c r="J36" s="9" t="str">
        <f ca="1">+WORLDCUP!BD68</f>
        <v>Uzbekistan</v>
      </c>
      <c r="N36" s="16" t="s">
        <v>1176</v>
      </c>
      <c r="O36" s="16">
        <v>35</v>
      </c>
      <c r="P36" s="16" t="s">
        <v>92</v>
      </c>
      <c r="Q36" s="16" t="s">
        <v>451</v>
      </c>
      <c r="R36" s="16" t="s">
        <v>94</v>
      </c>
      <c r="S36" s="16" t="s">
        <v>93</v>
      </c>
      <c r="T36" s="16" t="s">
        <v>446</v>
      </c>
      <c r="U36" s="16" t="s">
        <v>95</v>
      </c>
      <c r="V36" s="16" t="s">
        <v>450</v>
      </c>
      <c r="W36" s="16" t="s">
        <v>452</v>
      </c>
    </row>
    <row r="37" spans="1:23" x14ac:dyDescent="0.2">
      <c r="A37" s="9" t="s">
        <v>1175</v>
      </c>
      <c r="B37" s="9">
        <f ca="1">+IF(A37=WORLDCUP!$BI$112,1,0)</f>
        <v>0</v>
      </c>
      <c r="C37" s="9" t="str">
        <f ca="1">+WORLDCUP!BD60</f>
        <v>Haiti</v>
      </c>
      <c r="D37" s="9" t="str">
        <f ca="1">+WORLDCUP!BD64</f>
        <v>Iran</v>
      </c>
      <c r="E37" s="9" t="str">
        <f ca="1">+WORLDCUP!BD62</f>
        <v>Ivory Coast</v>
      </c>
      <c r="F37" s="9" t="str">
        <f ca="1">+WORLDCUP!BD61</f>
        <v>Australia</v>
      </c>
      <c r="G37" s="9" t="str">
        <f ca="1">+WORLDCUP!BD67</f>
        <v>Austria</v>
      </c>
      <c r="H37" s="9" t="str">
        <f ca="1">+WORLDCUP!BD63</f>
        <v>Sweden</v>
      </c>
      <c r="I37" s="9" t="str">
        <f ca="1">+WORLDCUP!BD69</f>
        <v>Ghana</v>
      </c>
      <c r="J37" s="9" t="str">
        <f ca="1">+WORLDCUP!BD68</f>
        <v>Uzbekistan</v>
      </c>
      <c r="N37" s="16" t="s">
        <v>1175</v>
      </c>
      <c r="O37" s="16">
        <v>36</v>
      </c>
      <c r="P37" s="16" t="s">
        <v>92</v>
      </c>
      <c r="Q37" s="16" t="s">
        <v>445</v>
      </c>
      <c r="R37" s="16" t="s">
        <v>94</v>
      </c>
      <c r="S37" s="16" t="s">
        <v>93</v>
      </c>
      <c r="T37" s="16" t="s">
        <v>451</v>
      </c>
      <c r="U37" s="16" t="s">
        <v>95</v>
      </c>
      <c r="V37" s="16" t="s">
        <v>453</v>
      </c>
      <c r="W37" s="16" t="s">
        <v>452</v>
      </c>
    </row>
    <row r="38" spans="1:23" x14ac:dyDescent="0.2">
      <c r="A38" s="9" t="s">
        <v>1174</v>
      </c>
      <c r="B38" s="9">
        <f ca="1">+IF(A38=WORLDCUP!$BI$112,1,0)</f>
        <v>0</v>
      </c>
      <c r="C38" s="9" t="str">
        <f ca="1">+WORLDCUP!BD60</f>
        <v>Haiti</v>
      </c>
      <c r="D38" s="9" t="str">
        <f ca="1">+WORLDCUP!BD64</f>
        <v>Iran</v>
      </c>
      <c r="E38" s="9" t="str">
        <f ca="1">+WORLDCUP!BD62</f>
        <v>Ivory Coast</v>
      </c>
      <c r="F38" s="9" t="str">
        <f ca="1">+WORLDCUP!BD61</f>
        <v>Australia</v>
      </c>
      <c r="G38" s="9" t="str">
        <f ca="1">+WORLDCUP!BD66</f>
        <v>Iraq</v>
      </c>
      <c r="H38" s="9" t="str">
        <f ca="1">+WORLDCUP!BD63</f>
        <v>Sweden</v>
      </c>
      <c r="I38" s="9" t="str">
        <f ca="1">+WORLDCUP!BD69</f>
        <v>Ghana</v>
      </c>
      <c r="J38" s="9" t="str">
        <f ca="1">+WORLDCUP!BD68</f>
        <v>Uzbekistan</v>
      </c>
      <c r="N38" s="16" t="s">
        <v>1174</v>
      </c>
      <c r="O38" s="16">
        <v>37</v>
      </c>
      <c r="P38" s="16" t="s">
        <v>92</v>
      </c>
      <c r="Q38" s="16" t="s">
        <v>445</v>
      </c>
      <c r="R38" s="16" t="s">
        <v>94</v>
      </c>
      <c r="S38" s="16" t="s">
        <v>93</v>
      </c>
      <c r="T38" s="16" t="s">
        <v>450</v>
      </c>
      <c r="U38" s="16" t="s">
        <v>95</v>
      </c>
      <c r="V38" s="16" t="s">
        <v>453</v>
      </c>
      <c r="W38" s="16" t="s">
        <v>452</v>
      </c>
    </row>
    <row r="39" spans="1:23" x14ac:dyDescent="0.2">
      <c r="A39" s="9" t="s">
        <v>1173</v>
      </c>
      <c r="B39" s="9">
        <f ca="1">+IF(A39=WORLDCUP!$BI$112,1,0)</f>
        <v>0</v>
      </c>
      <c r="C39" s="9" t="str">
        <f ca="1">+WORLDCUP!BD60</f>
        <v>Haiti</v>
      </c>
      <c r="D39" s="9" t="str">
        <f ca="1">+WORLDCUP!BD64</f>
        <v>Iran</v>
      </c>
      <c r="E39" s="9" t="str">
        <f ca="1">+WORLDCUP!BD62</f>
        <v>Ivory Coast</v>
      </c>
      <c r="F39" s="9" t="str">
        <f ca="1">+WORLDCUP!BD61</f>
        <v>Australia</v>
      </c>
      <c r="G39" s="9" t="str">
        <f ca="1">+WORLDCUP!BD67</f>
        <v>Austria</v>
      </c>
      <c r="H39" s="9" t="str">
        <f ca="1">+WORLDCUP!BD63</f>
        <v>Sweden</v>
      </c>
      <c r="I39" s="9" t="str">
        <f ca="1">+WORLDCUP!BD69</f>
        <v>Ghana</v>
      </c>
      <c r="J39" s="9" t="str">
        <f ca="1">+WORLDCUP!BD66</f>
        <v>Iraq</v>
      </c>
      <c r="N39" s="16" t="s">
        <v>1173</v>
      </c>
      <c r="O39" s="16">
        <v>38</v>
      </c>
      <c r="P39" s="16" t="s">
        <v>92</v>
      </c>
      <c r="Q39" s="16" t="s">
        <v>445</v>
      </c>
      <c r="R39" s="16" t="s">
        <v>94</v>
      </c>
      <c r="S39" s="16" t="s">
        <v>93</v>
      </c>
      <c r="T39" s="16" t="s">
        <v>451</v>
      </c>
      <c r="U39" s="16" t="s">
        <v>95</v>
      </c>
      <c r="V39" s="16" t="s">
        <v>453</v>
      </c>
      <c r="W39" s="16" t="s">
        <v>450</v>
      </c>
    </row>
    <row r="40" spans="1:23" x14ac:dyDescent="0.2">
      <c r="A40" s="9" t="s">
        <v>1172</v>
      </c>
      <c r="B40" s="9">
        <f ca="1">+IF(A40=WORLDCUP!$BI$112,1,0)</f>
        <v>0</v>
      </c>
      <c r="C40" s="9" t="str">
        <f ca="1">+WORLDCUP!BD60</f>
        <v>Haiti</v>
      </c>
      <c r="D40" s="9" t="str">
        <f ca="1">+WORLDCUP!BD64</f>
        <v>Iran</v>
      </c>
      <c r="E40" s="9" t="str">
        <f ca="1">+WORLDCUP!BD62</f>
        <v>Ivory Coast</v>
      </c>
      <c r="F40" s="9" t="str">
        <f ca="1">+WORLDCUP!BD61</f>
        <v>Australia</v>
      </c>
      <c r="G40" s="9" t="str">
        <f ca="1">+WORLDCUP!BD67</f>
        <v>Austria</v>
      </c>
      <c r="H40" s="9" t="str">
        <f ca="1">+WORLDCUP!BD63</f>
        <v>Sweden</v>
      </c>
      <c r="I40" s="9" t="str">
        <f ca="1">+WORLDCUP!BD66</f>
        <v>Iraq</v>
      </c>
      <c r="J40" s="9" t="str">
        <f ca="1">+WORLDCUP!BD68</f>
        <v>Uzbekistan</v>
      </c>
      <c r="N40" s="16" t="s">
        <v>1172</v>
      </c>
      <c r="O40" s="16">
        <v>39</v>
      </c>
      <c r="P40" s="16" t="s">
        <v>92</v>
      </c>
      <c r="Q40" s="16" t="s">
        <v>445</v>
      </c>
      <c r="R40" s="16" t="s">
        <v>94</v>
      </c>
      <c r="S40" s="16" t="s">
        <v>93</v>
      </c>
      <c r="T40" s="16" t="s">
        <v>451</v>
      </c>
      <c r="U40" s="16" t="s">
        <v>95</v>
      </c>
      <c r="V40" s="16" t="s">
        <v>450</v>
      </c>
      <c r="W40" s="16" t="s">
        <v>452</v>
      </c>
    </row>
    <row r="41" spans="1:23" x14ac:dyDescent="0.2">
      <c r="A41" s="9" t="s">
        <v>484</v>
      </c>
      <c r="B41" s="9">
        <f ca="1">+IF(A41=WORLDCUP!$BI$112,1,0)</f>
        <v>0</v>
      </c>
      <c r="C41" s="9" t="str">
        <f ca="1">+WORLDCUP!BD60</f>
        <v>Haiti</v>
      </c>
      <c r="D41" s="9" t="str">
        <f ca="1">+WORLDCUP!BD64</f>
        <v>Iran</v>
      </c>
      <c r="E41" s="9" t="str">
        <f ca="1">+WORLDCUP!BD62</f>
        <v>Ivory Coast</v>
      </c>
      <c r="F41" s="9" t="str">
        <f ca="1">+WORLDCUP!BD61</f>
        <v>Australia</v>
      </c>
      <c r="G41" s="9" t="str">
        <f ca="1">+WORLDCUP!BD65</f>
        <v>Saudi Arabia</v>
      </c>
      <c r="H41" s="9" t="str">
        <f ca="1">+WORLDCUP!BD63</f>
        <v>Sweden</v>
      </c>
      <c r="I41" s="9" t="str">
        <f ca="1">+WORLDCUP!BD69</f>
        <v>Ghana</v>
      </c>
      <c r="J41" s="9" t="str">
        <f ca="1">+WORLDCUP!BD68</f>
        <v>Uzbekistan</v>
      </c>
      <c r="N41" s="16" t="s">
        <v>484</v>
      </c>
      <c r="O41" s="16">
        <v>40</v>
      </c>
      <c r="P41" s="16" t="s">
        <v>92</v>
      </c>
      <c r="Q41" s="16" t="s">
        <v>445</v>
      </c>
      <c r="R41" s="16" t="s">
        <v>94</v>
      </c>
      <c r="S41" s="16" t="s">
        <v>93</v>
      </c>
      <c r="T41" s="16" t="s">
        <v>446</v>
      </c>
      <c r="U41" s="16" t="s">
        <v>95</v>
      </c>
      <c r="V41" s="16" t="s">
        <v>453</v>
      </c>
      <c r="W41" s="16" t="s">
        <v>452</v>
      </c>
    </row>
    <row r="42" spans="1:23" x14ac:dyDescent="0.2">
      <c r="A42" s="9" t="s">
        <v>483</v>
      </c>
      <c r="B42" s="9">
        <f ca="1">+IF(A42=WORLDCUP!$BI$112,1,0)</f>
        <v>0</v>
      </c>
      <c r="C42" s="9" t="str">
        <f ca="1">+WORLDCUP!BD60</f>
        <v>Haiti</v>
      </c>
      <c r="D42" s="9" t="str">
        <f ca="1">+WORLDCUP!BD64</f>
        <v>Iran</v>
      </c>
      <c r="E42" s="9" t="str">
        <f ca="1">+WORLDCUP!BD67</f>
        <v>Austria</v>
      </c>
      <c r="F42" s="9" t="str">
        <f ca="1">+WORLDCUP!BD61</f>
        <v>Australia</v>
      </c>
      <c r="G42" s="9" t="str">
        <f ca="1">+WORLDCUP!BD65</f>
        <v>Saudi Arabia</v>
      </c>
      <c r="H42" s="9" t="str">
        <f ca="1">+WORLDCUP!BD63</f>
        <v>Sweden</v>
      </c>
      <c r="I42" s="9" t="str">
        <f ca="1">+WORLDCUP!BD69</f>
        <v>Ghana</v>
      </c>
      <c r="J42" s="9" t="str">
        <f ca="1">+WORLDCUP!BD62</f>
        <v>Ivory Coast</v>
      </c>
      <c r="N42" s="16" t="s">
        <v>483</v>
      </c>
      <c r="O42" s="16">
        <v>41</v>
      </c>
      <c r="P42" s="16" t="s">
        <v>92</v>
      </c>
      <c r="Q42" s="16" t="s">
        <v>445</v>
      </c>
      <c r="R42" s="16" t="s">
        <v>451</v>
      </c>
      <c r="S42" s="16" t="s">
        <v>93</v>
      </c>
      <c r="T42" s="16" t="s">
        <v>446</v>
      </c>
      <c r="U42" s="16" t="s">
        <v>95</v>
      </c>
      <c r="V42" s="16" t="s">
        <v>453</v>
      </c>
      <c r="W42" s="16" t="s">
        <v>94</v>
      </c>
    </row>
    <row r="43" spans="1:23" x14ac:dyDescent="0.2">
      <c r="A43" s="9" t="s">
        <v>482</v>
      </c>
      <c r="B43" s="9">
        <f ca="1">+IF(A43=WORLDCUP!$BI$112,1,0)</f>
        <v>0</v>
      </c>
      <c r="C43" s="9" t="str">
        <f ca="1">+WORLDCUP!BD60</f>
        <v>Haiti</v>
      </c>
      <c r="D43" s="9" t="str">
        <f ca="1">+WORLDCUP!BD64</f>
        <v>Iran</v>
      </c>
      <c r="E43" s="9" t="str">
        <f ca="1">+WORLDCUP!BD67</f>
        <v>Austria</v>
      </c>
      <c r="F43" s="9" t="str">
        <f ca="1">+WORLDCUP!BD61</f>
        <v>Australia</v>
      </c>
      <c r="G43" s="9" t="str">
        <f ca="1">+WORLDCUP!BD65</f>
        <v>Saudi Arabia</v>
      </c>
      <c r="H43" s="9" t="str">
        <f ca="1">+WORLDCUP!BD63</f>
        <v>Sweden</v>
      </c>
      <c r="I43" s="9" t="str">
        <f ca="1">+WORLDCUP!BD62</f>
        <v>Ivory Coast</v>
      </c>
      <c r="J43" s="9" t="str">
        <f ca="1">+WORLDCUP!BD68</f>
        <v>Uzbekistan</v>
      </c>
      <c r="N43" s="16" t="s">
        <v>482</v>
      </c>
      <c r="O43" s="16">
        <v>42</v>
      </c>
      <c r="P43" s="16" t="s">
        <v>92</v>
      </c>
      <c r="Q43" s="16" t="s">
        <v>445</v>
      </c>
      <c r="R43" s="16" t="s">
        <v>451</v>
      </c>
      <c r="S43" s="16" t="s">
        <v>93</v>
      </c>
      <c r="T43" s="16" t="s">
        <v>446</v>
      </c>
      <c r="U43" s="16" t="s">
        <v>95</v>
      </c>
      <c r="V43" s="16" t="s">
        <v>94</v>
      </c>
      <c r="W43" s="16" t="s">
        <v>452</v>
      </c>
    </row>
    <row r="44" spans="1:23" x14ac:dyDescent="0.2">
      <c r="A44" s="9" t="s">
        <v>481</v>
      </c>
      <c r="B44" s="9">
        <f ca="1">+IF(A44=WORLDCUP!$BI$112,1,0)</f>
        <v>0</v>
      </c>
      <c r="C44" s="9" t="str">
        <f ca="1">+WORLDCUP!BD60</f>
        <v>Haiti</v>
      </c>
      <c r="D44" s="9" t="str">
        <f ca="1">+WORLDCUP!BD64</f>
        <v>Iran</v>
      </c>
      <c r="E44" s="9" t="str">
        <f ca="1">+WORLDCUP!BD62</f>
        <v>Ivory Coast</v>
      </c>
      <c r="F44" s="9" t="str">
        <f ca="1">+WORLDCUP!BD61</f>
        <v>Australia</v>
      </c>
      <c r="G44" s="9" t="str">
        <f ca="1">+WORLDCUP!BD65</f>
        <v>Saudi Arabia</v>
      </c>
      <c r="H44" s="9" t="str">
        <f ca="1">+WORLDCUP!BD63</f>
        <v>Sweden</v>
      </c>
      <c r="I44" s="9" t="str">
        <f ca="1">+WORLDCUP!BD69</f>
        <v>Ghana</v>
      </c>
      <c r="J44" s="9" t="str">
        <f ca="1">+WORLDCUP!BD66</f>
        <v>Iraq</v>
      </c>
      <c r="N44" s="16" t="s">
        <v>481</v>
      </c>
      <c r="O44" s="16">
        <v>43</v>
      </c>
      <c r="P44" s="16" t="s">
        <v>92</v>
      </c>
      <c r="Q44" s="16" t="s">
        <v>445</v>
      </c>
      <c r="R44" s="16" t="s">
        <v>94</v>
      </c>
      <c r="S44" s="16" t="s">
        <v>93</v>
      </c>
      <c r="T44" s="16" t="s">
        <v>446</v>
      </c>
      <c r="U44" s="16" t="s">
        <v>95</v>
      </c>
      <c r="V44" s="16" t="s">
        <v>453</v>
      </c>
      <c r="W44" s="16" t="s">
        <v>450</v>
      </c>
    </row>
    <row r="45" spans="1:23" x14ac:dyDescent="0.2">
      <c r="A45" s="9" t="s">
        <v>480</v>
      </c>
      <c r="B45" s="9">
        <f ca="1">+IF(A45=WORLDCUP!$BI$112,1,0)</f>
        <v>0</v>
      </c>
      <c r="C45" s="9" t="str">
        <f ca="1">+WORLDCUP!BD60</f>
        <v>Haiti</v>
      </c>
      <c r="D45" s="9" t="str">
        <f ca="1">+WORLDCUP!BD64</f>
        <v>Iran</v>
      </c>
      <c r="E45" s="9" t="str">
        <f ca="1">+WORLDCUP!BD62</f>
        <v>Ivory Coast</v>
      </c>
      <c r="F45" s="9" t="str">
        <f ca="1">+WORLDCUP!BD61</f>
        <v>Australia</v>
      </c>
      <c r="G45" s="9" t="str">
        <f ca="1">+WORLDCUP!BD65</f>
        <v>Saudi Arabia</v>
      </c>
      <c r="H45" s="9" t="str">
        <f ca="1">+WORLDCUP!BD63</f>
        <v>Sweden</v>
      </c>
      <c r="I45" s="9" t="str">
        <f ca="1">+WORLDCUP!BD66</f>
        <v>Iraq</v>
      </c>
      <c r="J45" s="9" t="str">
        <f ca="1">+WORLDCUP!BD68</f>
        <v>Uzbekistan</v>
      </c>
      <c r="N45" s="16" t="s">
        <v>480</v>
      </c>
      <c r="O45" s="16">
        <v>44</v>
      </c>
      <c r="P45" s="16" t="s">
        <v>92</v>
      </c>
      <c r="Q45" s="16" t="s">
        <v>445</v>
      </c>
      <c r="R45" s="16" t="s">
        <v>94</v>
      </c>
      <c r="S45" s="16" t="s">
        <v>93</v>
      </c>
      <c r="T45" s="16" t="s">
        <v>446</v>
      </c>
      <c r="U45" s="16" t="s">
        <v>95</v>
      </c>
      <c r="V45" s="16" t="s">
        <v>450</v>
      </c>
      <c r="W45" s="16" t="s">
        <v>452</v>
      </c>
    </row>
    <row r="46" spans="1:23" x14ac:dyDescent="0.2">
      <c r="A46" s="9" t="s">
        <v>479</v>
      </c>
      <c r="B46" s="9">
        <f ca="1">+IF(A46=WORLDCUP!$BI$112,1,0)</f>
        <v>0</v>
      </c>
      <c r="C46" s="9" t="str">
        <f ca="1">+WORLDCUP!BD60</f>
        <v>Haiti</v>
      </c>
      <c r="D46" s="9" t="str">
        <f ca="1">+WORLDCUP!BD64</f>
        <v>Iran</v>
      </c>
      <c r="E46" s="9" t="str">
        <f ca="1">+WORLDCUP!BD67</f>
        <v>Austria</v>
      </c>
      <c r="F46" s="9" t="str">
        <f ca="1">+WORLDCUP!BD61</f>
        <v>Australia</v>
      </c>
      <c r="G46" s="9" t="str">
        <f ca="1">+WORLDCUP!BD65</f>
        <v>Saudi Arabia</v>
      </c>
      <c r="H46" s="9" t="str">
        <f ca="1">+WORLDCUP!BD63</f>
        <v>Sweden</v>
      </c>
      <c r="I46" s="9" t="str">
        <f ca="1">+WORLDCUP!BD62</f>
        <v>Ivory Coast</v>
      </c>
      <c r="J46" s="9" t="str">
        <f ca="1">+WORLDCUP!BD66</f>
        <v>Iraq</v>
      </c>
      <c r="N46" s="16" t="s">
        <v>479</v>
      </c>
      <c r="O46" s="16">
        <v>45</v>
      </c>
      <c r="P46" s="16" t="s">
        <v>92</v>
      </c>
      <c r="Q46" s="16" t="s">
        <v>445</v>
      </c>
      <c r="R46" s="16" t="s">
        <v>451</v>
      </c>
      <c r="S46" s="16" t="s">
        <v>93</v>
      </c>
      <c r="T46" s="16" t="s">
        <v>446</v>
      </c>
      <c r="U46" s="16" t="s">
        <v>95</v>
      </c>
      <c r="V46" s="16" t="s">
        <v>94</v>
      </c>
      <c r="W46" s="16" t="s">
        <v>450</v>
      </c>
    </row>
    <row r="47" spans="1:23" x14ac:dyDescent="0.2">
      <c r="A47" s="9" t="s">
        <v>617</v>
      </c>
      <c r="B47" s="9">
        <f ca="1">+IF(A47=WORLDCUP!$BI$112,1,0)</f>
        <v>0</v>
      </c>
      <c r="C47" s="9" t="str">
        <f ca="1">+WORLDCUP!BD65</f>
        <v>Saudi Arabia</v>
      </c>
      <c r="D47" s="9" t="str">
        <f ca="1">+WORLDCUP!BD67</f>
        <v>Austria</v>
      </c>
      <c r="E47" s="9" t="str">
        <f ca="1">+WORLDCUP!BD59</f>
        <v>Qatar</v>
      </c>
      <c r="F47" s="9" t="str">
        <f ca="1">+WORLDCUP!BD63</f>
        <v>Sweden</v>
      </c>
      <c r="G47" s="9" t="str">
        <f ca="1">+WORLDCUP!BD66</f>
        <v>Iraq</v>
      </c>
      <c r="H47" s="9" t="str">
        <f ca="1">+WORLDCUP!BD64</f>
        <v>Iran</v>
      </c>
      <c r="I47" s="9" t="str">
        <f ca="1">+WORLDCUP!BD69</f>
        <v>Ghana</v>
      </c>
      <c r="J47" s="9" t="str">
        <f ca="1">+WORLDCUP!BD68</f>
        <v>Uzbekistan</v>
      </c>
      <c r="N47" s="16" t="s">
        <v>617</v>
      </c>
      <c r="O47" s="16">
        <v>46</v>
      </c>
      <c r="P47" s="16" t="s">
        <v>446</v>
      </c>
      <c r="Q47" s="16" t="s">
        <v>451</v>
      </c>
      <c r="R47" s="16" t="s">
        <v>91</v>
      </c>
      <c r="S47" s="16" t="s">
        <v>95</v>
      </c>
      <c r="T47" s="16" t="s">
        <v>450</v>
      </c>
      <c r="U47" s="16" t="s">
        <v>445</v>
      </c>
      <c r="V47" s="16" t="s">
        <v>453</v>
      </c>
      <c r="W47" s="16" t="s">
        <v>452</v>
      </c>
    </row>
    <row r="48" spans="1:23" x14ac:dyDescent="0.2">
      <c r="A48" s="9" t="s">
        <v>1171</v>
      </c>
      <c r="B48" s="9">
        <f ca="1">+IF(A48=WORLDCUP!$BI$112,1,0)</f>
        <v>0</v>
      </c>
      <c r="C48" s="9" t="str">
        <f ca="1">+WORLDCUP!BD62</f>
        <v>Ivory Coast</v>
      </c>
      <c r="D48" s="9" t="str">
        <f ca="1">+WORLDCUP!BD67</f>
        <v>Austria</v>
      </c>
      <c r="E48" s="9" t="str">
        <f ca="1">+WORLDCUP!BD66</f>
        <v>Iraq</v>
      </c>
      <c r="F48" s="9" t="str">
        <f ca="1">+WORLDCUP!BD59</f>
        <v>Qatar</v>
      </c>
      <c r="G48" s="9" t="str">
        <f ca="1">+WORLDCUP!BD65</f>
        <v>Saudi Arabia</v>
      </c>
      <c r="H48" s="9" t="str">
        <f ca="1">+WORLDCUP!BD64</f>
        <v>Iran</v>
      </c>
      <c r="I48" s="9" t="str">
        <f ca="1">+WORLDCUP!BD69</f>
        <v>Ghana</v>
      </c>
      <c r="J48" s="9" t="str">
        <f ca="1">+WORLDCUP!BD68</f>
        <v>Uzbekistan</v>
      </c>
      <c r="N48" s="16" t="s">
        <v>1171</v>
      </c>
      <c r="O48" s="16">
        <v>47</v>
      </c>
      <c r="P48" s="16" t="s">
        <v>94</v>
      </c>
      <c r="Q48" s="16" t="s">
        <v>451</v>
      </c>
      <c r="R48" s="16" t="s">
        <v>450</v>
      </c>
      <c r="S48" s="16" t="s">
        <v>91</v>
      </c>
      <c r="T48" s="16" t="s">
        <v>446</v>
      </c>
      <c r="U48" s="16" t="s">
        <v>445</v>
      </c>
      <c r="V48" s="16" t="s">
        <v>453</v>
      </c>
      <c r="W48" s="16" t="s">
        <v>452</v>
      </c>
    </row>
    <row r="49" spans="1:23" x14ac:dyDescent="0.2">
      <c r="A49" s="9" t="s">
        <v>1170</v>
      </c>
      <c r="B49" s="9">
        <f ca="1">+IF(A49=WORLDCUP!$BI$112,1,0)</f>
        <v>0</v>
      </c>
      <c r="C49" s="9" t="str">
        <f ca="1">+WORLDCUP!BD62</f>
        <v>Ivory Coast</v>
      </c>
      <c r="D49" s="9" t="str">
        <f ca="1">+WORLDCUP!BD67</f>
        <v>Austria</v>
      </c>
      <c r="E49" s="9" t="str">
        <f ca="1">+WORLDCUP!BD59</f>
        <v>Qatar</v>
      </c>
      <c r="F49" s="9" t="str">
        <f ca="1">+WORLDCUP!BD63</f>
        <v>Sweden</v>
      </c>
      <c r="G49" s="9" t="str">
        <f ca="1">+WORLDCUP!BD66</f>
        <v>Iraq</v>
      </c>
      <c r="H49" s="9" t="str">
        <f ca="1">+WORLDCUP!BD65</f>
        <v>Saudi Arabia</v>
      </c>
      <c r="I49" s="9" t="str">
        <f ca="1">+WORLDCUP!BD69</f>
        <v>Ghana</v>
      </c>
      <c r="J49" s="9" t="str">
        <f ca="1">+WORLDCUP!BD68</f>
        <v>Uzbekistan</v>
      </c>
      <c r="N49" s="16" t="s">
        <v>1170</v>
      </c>
      <c r="O49" s="16">
        <v>48</v>
      </c>
      <c r="P49" s="16" t="s">
        <v>94</v>
      </c>
      <c r="Q49" s="16" t="s">
        <v>451</v>
      </c>
      <c r="R49" s="16" t="s">
        <v>91</v>
      </c>
      <c r="S49" s="16" t="s">
        <v>95</v>
      </c>
      <c r="T49" s="16" t="s">
        <v>450</v>
      </c>
      <c r="U49" s="16" t="s">
        <v>446</v>
      </c>
      <c r="V49" s="16" t="s">
        <v>453</v>
      </c>
      <c r="W49" s="16" t="s">
        <v>452</v>
      </c>
    </row>
    <row r="50" spans="1:23" x14ac:dyDescent="0.2">
      <c r="A50" s="9" t="s">
        <v>1169</v>
      </c>
      <c r="B50" s="9">
        <f ca="1">+IF(A50=WORLDCUP!$BI$112,1,0)</f>
        <v>0</v>
      </c>
      <c r="C50" s="9" t="str">
        <f ca="1">+WORLDCUP!BD62</f>
        <v>Ivory Coast</v>
      </c>
      <c r="D50" s="9" t="str">
        <f ca="1">+WORLDCUP!BD67</f>
        <v>Austria</v>
      </c>
      <c r="E50" s="9" t="str">
        <f ca="1">+WORLDCUP!BD59</f>
        <v>Qatar</v>
      </c>
      <c r="F50" s="9" t="str">
        <f ca="1">+WORLDCUP!BD63</f>
        <v>Sweden</v>
      </c>
      <c r="G50" s="9" t="str">
        <f ca="1">+WORLDCUP!BD66</f>
        <v>Iraq</v>
      </c>
      <c r="H50" s="9" t="str">
        <f ca="1">+WORLDCUP!BD64</f>
        <v>Iran</v>
      </c>
      <c r="I50" s="9" t="str">
        <f ca="1">+WORLDCUP!BD69</f>
        <v>Ghana</v>
      </c>
      <c r="J50" s="9" t="str">
        <f ca="1">+WORLDCUP!BD68</f>
        <v>Uzbekistan</v>
      </c>
      <c r="N50" s="16" t="s">
        <v>1169</v>
      </c>
      <c r="O50" s="16">
        <v>49</v>
      </c>
      <c r="P50" s="16" t="s">
        <v>94</v>
      </c>
      <c r="Q50" s="16" t="s">
        <v>451</v>
      </c>
      <c r="R50" s="16" t="s">
        <v>91</v>
      </c>
      <c r="S50" s="16" t="s">
        <v>95</v>
      </c>
      <c r="T50" s="16" t="s">
        <v>450</v>
      </c>
      <c r="U50" s="16" t="s">
        <v>445</v>
      </c>
      <c r="V50" s="16" t="s">
        <v>453</v>
      </c>
      <c r="W50" s="16" t="s">
        <v>452</v>
      </c>
    </row>
    <row r="51" spans="1:23" x14ac:dyDescent="0.2">
      <c r="A51" s="9" t="s">
        <v>1168</v>
      </c>
      <c r="B51" s="9">
        <f ca="1">+IF(A51=WORLDCUP!$BI$112,1,0)</f>
        <v>0</v>
      </c>
      <c r="C51" s="9" t="str">
        <f ca="1">+WORLDCUP!BD62</f>
        <v>Ivory Coast</v>
      </c>
      <c r="D51" s="9" t="str">
        <f ca="1">+WORLDCUP!BD67</f>
        <v>Austria</v>
      </c>
      <c r="E51" s="9" t="str">
        <f ca="1">+WORLDCUP!BD59</f>
        <v>Qatar</v>
      </c>
      <c r="F51" s="9" t="str">
        <f ca="1">+WORLDCUP!BD63</f>
        <v>Sweden</v>
      </c>
      <c r="G51" s="9" t="str">
        <f ca="1">+WORLDCUP!BD65</f>
        <v>Saudi Arabia</v>
      </c>
      <c r="H51" s="9" t="str">
        <f ca="1">+WORLDCUP!BD64</f>
        <v>Iran</v>
      </c>
      <c r="I51" s="9" t="str">
        <f ca="1">+WORLDCUP!BD69</f>
        <v>Ghana</v>
      </c>
      <c r="J51" s="9" t="str">
        <f ca="1">+WORLDCUP!BD68</f>
        <v>Uzbekistan</v>
      </c>
      <c r="N51" s="16" t="s">
        <v>1168</v>
      </c>
      <c r="O51" s="16">
        <v>50</v>
      </c>
      <c r="P51" s="16" t="s">
        <v>94</v>
      </c>
      <c r="Q51" s="16" t="s">
        <v>451</v>
      </c>
      <c r="R51" s="16" t="s">
        <v>91</v>
      </c>
      <c r="S51" s="16" t="s">
        <v>95</v>
      </c>
      <c r="T51" s="16" t="s">
        <v>446</v>
      </c>
      <c r="U51" s="16" t="s">
        <v>445</v>
      </c>
      <c r="V51" s="16" t="s">
        <v>453</v>
      </c>
      <c r="W51" s="16" t="s">
        <v>452</v>
      </c>
    </row>
    <row r="52" spans="1:23" x14ac:dyDescent="0.2">
      <c r="A52" s="9" t="s">
        <v>616</v>
      </c>
      <c r="B52" s="9">
        <f ca="1">+IF(A52=WORLDCUP!$BI$112,1,0)</f>
        <v>0</v>
      </c>
      <c r="C52" s="9" t="str">
        <f ca="1">+WORLDCUP!BD62</f>
        <v>Ivory Coast</v>
      </c>
      <c r="D52" s="9" t="str">
        <f ca="1">+WORLDCUP!BD64</f>
        <v>Iran</v>
      </c>
      <c r="E52" s="9" t="str">
        <f ca="1">+WORLDCUP!BD59</f>
        <v>Qatar</v>
      </c>
      <c r="F52" s="9" t="str">
        <f ca="1">+WORLDCUP!BD63</f>
        <v>Sweden</v>
      </c>
      <c r="G52" s="9" t="str">
        <f ca="1">+WORLDCUP!BD66</f>
        <v>Iraq</v>
      </c>
      <c r="H52" s="9" t="str">
        <f ca="1">+WORLDCUP!BD65</f>
        <v>Saudi Arabia</v>
      </c>
      <c r="I52" s="9" t="str">
        <f ca="1">+WORLDCUP!BD69</f>
        <v>Ghana</v>
      </c>
      <c r="J52" s="9" t="str">
        <f ca="1">+WORLDCUP!BD68</f>
        <v>Uzbekistan</v>
      </c>
      <c r="N52" s="16" t="s">
        <v>616</v>
      </c>
      <c r="O52" s="16">
        <v>51</v>
      </c>
      <c r="P52" s="16" t="s">
        <v>94</v>
      </c>
      <c r="Q52" s="16" t="s">
        <v>445</v>
      </c>
      <c r="R52" s="16" t="s">
        <v>91</v>
      </c>
      <c r="S52" s="16" t="s">
        <v>95</v>
      </c>
      <c r="T52" s="16" t="s">
        <v>450</v>
      </c>
      <c r="U52" s="16" t="s">
        <v>446</v>
      </c>
      <c r="V52" s="16" t="s">
        <v>453</v>
      </c>
      <c r="W52" s="16" t="s">
        <v>452</v>
      </c>
    </row>
    <row r="53" spans="1:23" x14ac:dyDescent="0.2">
      <c r="A53" s="9" t="s">
        <v>615</v>
      </c>
      <c r="B53" s="9">
        <f ca="1">+IF(A53=WORLDCUP!$BI$112,1,0)</f>
        <v>0</v>
      </c>
      <c r="C53" s="9" t="str">
        <f ca="1">+WORLDCUP!BD62</f>
        <v>Ivory Coast</v>
      </c>
      <c r="D53" s="9" t="str">
        <f ca="1">+WORLDCUP!BD67</f>
        <v>Austria</v>
      </c>
      <c r="E53" s="9" t="str">
        <f ca="1">+WORLDCUP!BD59</f>
        <v>Qatar</v>
      </c>
      <c r="F53" s="9" t="str">
        <f ca="1">+WORLDCUP!BD63</f>
        <v>Sweden</v>
      </c>
      <c r="G53" s="9" t="str">
        <f ca="1">+WORLDCUP!BD65</f>
        <v>Saudi Arabia</v>
      </c>
      <c r="H53" s="9" t="str">
        <f ca="1">+WORLDCUP!BD64</f>
        <v>Iran</v>
      </c>
      <c r="I53" s="9" t="str">
        <f ca="1">+WORLDCUP!BD69</f>
        <v>Ghana</v>
      </c>
      <c r="J53" s="9" t="str">
        <f ca="1">+WORLDCUP!BD66</f>
        <v>Iraq</v>
      </c>
      <c r="N53" s="16" t="s">
        <v>615</v>
      </c>
      <c r="O53" s="16">
        <v>52</v>
      </c>
      <c r="P53" s="16" t="s">
        <v>94</v>
      </c>
      <c r="Q53" s="16" t="s">
        <v>451</v>
      </c>
      <c r="R53" s="16" t="s">
        <v>91</v>
      </c>
      <c r="S53" s="16" t="s">
        <v>95</v>
      </c>
      <c r="T53" s="16" t="s">
        <v>446</v>
      </c>
      <c r="U53" s="16" t="s">
        <v>445</v>
      </c>
      <c r="V53" s="16" t="s">
        <v>453</v>
      </c>
      <c r="W53" s="16" t="s">
        <v>450</v>
      </c>
    </row>
    <row r="54" spans="1:23" x14ac:dyDescent="0.2">
      <c r="A54" s="9" t="s">
        <v>614</v>
      </c>
      <c r="B54" s="9">
        <f ca="1">+IF(A54=WORLDCUP!$BI$112,1,0)</f>
        <v>0</v>
      </c>
      <c r="C54" s="9" t="str">
        <f ca="1">+WORLDCUP!BD62</f>
        <v>Ivory Coast</v>
      </c>
      <c r="D54" s="9" t="str">
        <f ca="1">+WORLDCUP!BD67</f>
        <v>Austria</v>
      </c>
      <c r="E54" s="9" t="str">
        <f ca="1">+WORLDCUP!BD59</f>
        <v>Qatar</v>
      </c>
      <c r="F54" s="9" t="str">
        <f ca="1">+WORLDCUP!BD63</f>
        <v>Sweden</v>
      </c>
      <c r="G54" s="9" t="str">
        <f ca="1">+WORLDCUP!BD65</f>
        <v>Saudi Arabia</v>
      </c>
      <c r="H54" s="9" t="str">
        <f ca="1">+WORLDCUP!BD64</f>
        <v>Iran</v>
      </c>
      <c r="I54" s="9" t="str">
        <f ca="1">+WORLDCUP!BD66</f>
        <v>Iraq</v>
      </c>
      <c r="J54" s="9" t="str">
        <f ca="1">+WORLDCUP!BD68</f>
        <v>Uzbekistan</v>
      </c>
      <c r="N54" s="16" t="s">
        <v>614</v>
      </c>
      <c r="O54" s="16">
        <v>53</v>
      </c>
      <c r="P54" s="16" t="s">
        <v>94</v>
      </c>
      <c r="Q54" s="16" t="s">
        <v>451</v>
      </c>
      <c r="R54" s="16" t="s">
        <v>91</v>
      </c>
      <c r="S54" s="16" t="s">
        <v>95</v>
      </c>
      <c r="T54" s="16" t="s">
        <v>446</v>
      </c>
      <c r="U54" s="16" t="s">
        <v>445</v>
      </c>
      <c r="V54" s="16" t="s">
        <v>450</v>
      </c>
      <c r="W54" s="16" t="s">
        <v>452</v>
      </c>
    </row>
    <row r="55" spans="1:23" x14ac:dyDescent="0.2">
      <c r="A55" s="9" t="s">
        <v>1167</v>
      </c>
      <c r="B55" s="9">
        <f ca="1">+IF(A55=WORLDCUP!$BI$112,1,0)</f>
        <v>0</v>
      </c>
      <c r="C55" s="9" t="str">
        <f ca="1">+WORLDCUP!BD65</f>
        <v>Saudi Arabia</v>
      </c>
      <c r="D55" s="9" t="str">
        <f ca="1">+WORLDCUP!BD67</f>
        <v>Austria</v>
      </c>
      <c r="E55" s="9" t="str">
        <f ca="1">+WORLDCUP!BD59</f>
        <v>Qatar</v>
      </c>
      <c r="F55" s="9" t="str">
        <f ca="1">+WORLDCUP!BD61</f>
        <v>Australia</v>
      </c>
      <c r="G55" s="9" t="str">
        <f ca="1">+WORLDCUP!BD66</f>
        <v>Iraq</v>
      </c>
      <c r="H55" s="9" t="str">
        <f ca="1">+WORLDCUP!BD64</f>
        <v>Iran</v>
      </c>
      <c r="I55" s="9" t="str">
        <f ca="1">+WORLDCUP!BD69</f>
        <v>Ghana</v>
      </c>
      <c r="J55" s="9" t="str">
        <f ca="1">+WORLDCUP!BD68</f>
        <v>Uzbekistan</v>
      </c>
      <c r="N55" s="16" t="s">
        <v>1167</v>
      </c>
      <c r="O55" s="16">
        <v>54</v>
      </c>
      <c r="P55" s="16" t="s">
        <v>446</v>
      </c>
      <c r="Q55" s="16" t="s">
        <v>451</v>
      </c>
      <c r="R55" s="16" t="s">
        <v>91</v>
      </c>
      <c r="S55" s="16" t="s">
        <v>93</v>
      </c>
      <c r="T55" s="16" t="s">
        <v>450</v>
      </c>
      <c r="U55" s="16" t="s">
        <v>445</v>
      </c>
      <c r="V55" s="16" t="s">
        <v>453</v>
      </c>
      <c r="W55" s="16" t="s">
        <v>452</v>
      </c>
    </row>
    <row r="56" spans="1:23" x14ac:dyDescent="0.2">
      <c r="A56" s="9" t="s">
        <v>1166</v>
      </c>
      <c r="B56" s="9">
        <f ca="1">+IF(A56=WORLDCUP!$BI$112,1,0)</f>
        <v>0</v>
      </c>
      <c r="C56" s="9" t="str">
        <f ca="1">+WORLDCUP!BD65</f>
        <v>Saudi Arabia</v>
      </c>
      <c r="D56" s="9" t="str">
        <f ca="1">+WORLDCUP!BD67</f>
        <v>Austria</v>
      </c>
      <c r="E56" s="9" t="str">
        <f ca="1">+WORLDCUP!BD59</f>
        <v>Qatar</v>
      </c>
      <c r="F56" s="9" t="str">
        <f ca="1">+WORLDCUP!BD61</f>
        <v>Australia</v>
      </c>
      <c r="G56" s="9" t="str">
        <f ca="1">+WORLDCUP!BD66</f>
        <v>Iraq</v>
      </c>
      <c r="H56" s="9" t="str">
        <f ca="1">+WORLDCUP!BD63</f>
        <v>Sweden</v>
      </c>
      <c r="I56" s="9" t="str">
        <f ca="1">+WORLDCUP!BD69</f>
        <v>Ghana</v>
      </c>
      <c r="J56" s="9" t="str">
        <f ca="1">+WORLDCUP!BD68</f>
        <v>Uzbekistan</v>
      </c>
      <c r="N56" s="16" t="s">
        <v>1166</v>
      </c>
      <c r="O56" s="16">
        <v>55</v>
      </c>
      <c r="P56" s="16" t="s">
        <v>446</v>
      </c>
      <c r="Q56" s="16" t="s">
        <v>451</v>
      </c>
      <c r="R56" s="16" t="s">
        <v>91</v>
      </c>
      <c r="S56" s="16" t="s">
        <v>93</v>
      </c>
      <c r="T56" s="16" t="s">
        <v>450</v>
      </c>
      <c r="U56" s="16" t="s">
        <v>95</v>
      </c>
      <c r="V56" s="16" t="s">
        <v>453</v>
      </c>
      <c r="W56" s="16" t="s">
        <v>452</v>
      </c>
    </row>
    <row r="57" spans="1:23" x14ac:dyDescent="0.2">
      <c r="A57" s="9" t="s">
        <v>1165</v>
      </c>
      <c r="B57" s="9">
        <f ca="1">+IF(A57=WORLDCUP!$BI$112,1,0)</f>
        <v>0</v>
      </c>
      <c r="C57" s="9" t="str">
        <f ca="1">+WORLDCUP!BD66</f>
        <v>Iraq</v>
      </c>
      <c r="D57" s="9" t="str">
        <f ca="1">+WORLDCUP!BD64</f>
        <v>Iran</v>
      </c>
      <c r="E57" s="9" t="str">
        <f ca="1">+WORLDCUP!BD59</f>
        <v>Qatar</v>
      </c>
      <c r="F57" s="9" t="str">
        <f ca="1">+WORLDCUP!BD61</f>
        <v>Australia</v>
      </c>
      <c r="G57" s="9" t="str">
        <f ca="1">+WORLDCUP!BD67</f>
        <v>Austria</v>
      </c>
      <c r="H57" s="9" t="str">
        <f ca="1">+WORLDCUP!BD63</f>
        <v>Sweden</v>
      </c>
      <c r="I57" s="9" t="str">
        <f ca="1">+WORLDCUP!BD69</f>
        <v>Ghana</v>
      </c>
      <c r="J57" s="9" t="str">
        <f ca="1">+WORLDCUP!BD68</f>
        <v>Uzbekistan</v>
      </c>
      <c r="N57" s="16" t="s">
        <v>1165</v>
      </c>
      <c r="O57" s="16">
        <v>56</v>
      </c>
      <c r="P57" s="16" t="s">
        <v>450</v>
      </c>
      <c r="Q57" s="16" t="s">
        <v>445</v>
      </c>
      <c r="R57" s="16" t="s">
        <v>91</v>
      </c>
      <c r="S57" s="16" t="s">
        <v>93</v>
      </c>
      <c r="T57" s="16" t="s">
        <v>451</v>
      </c>
      <c r="U57" s="16" t="s">
        <v>95</v>
      </c>
      <c r="V57" s="16" t="s">
        <v>453</v>
      </c>
      <c r="W57" s="16" t="s">
        <v>452</v>
      </c>
    </row>
    <row r="58" spans="1:23" x14ac:dyDescent="0.2">
      <c r="A58" s="9" t="s">
        <v>1164</v>
      </c>
      <c r="B58" s="9">
        <f ca="1">+IF(A58=WORLDCUP!$BI$112,1,0)</f>
        <v>0</v>
      </c>
      <c r="C58" s="9" t="str">
        <f ca="1">+WORLDCUP!BD65</f>
        <v>Saudi Arabia</v>
      </c>
      <c r="D58" s="9" t="str">
        <f ca="1">+WORLDCUP!BD64</f>
        <v>Iran</v>
      </c>
      <c r="E58" s="9" t="str">
        <f ca="1">+WORLDCUP!BD59</f>
        <v>Qatar</v>
      </c>
      <c r="F58" s="9" t="str">
        <f ca="1">+WORLDCUP!BD61</f>
        <v>Australia</v>
      </c>
      <c r="G58" s="9" t="str">
        <f ca="1">+WORLDCUP!BD67</f>
        <v>Austria</v>
      </c>
      <c r="H58" s="9" t="str">
        <f ca="1">+WORLDCUP!BD63</f>
        <v>Sweden</v>
      </c>
      <c r="I58" s="9" t="str">
        <f ca="1">+WORLDCUP!BD69</f>
        <v>Ghana</v>
      </c>
      <c r="J58" s="9" t="str">
        <f ca="1">+WORLDCUP!BD68</f>
        <v>Uzbekistan</v>
      </c>
      <c r="N58" s="16" t="s">
        <v>1164</v>
      </c>
      <c r="O58" s="16">
        <v>57</v>
      </c>
      <c r="P58" s="16" t="s">
        <v>446</v>
      </c>
      <c r="Q58" s="16" t="s">
        <v>445</v>
      </c>
      <c r="R58" s="16" t="s">
        <v>91</v>
      </c>
      <c r="S58" s="16" t="s">
        <v>93</v>
      </c>
      <c r="T58" s="16" t="s">
        <v>451</v>
      </c>
      <c r="U58" s="16" t="s">
        <v>95</v>
      </c>
      <c r="V58" s="16" t="s">
        <v>453</v>
      </c>
      <c r="W58" s="16" t="s">
        <v>452</v>
      </c>
    </row>
    <row r="59" spans="1:23" x14ac:dyDescent="0.2">
      <c r="A59" s="9" t="s">
        <v>1163</v>
      </c>
      <c r="B59" s="9">
        <f ca="1">+IF(A59=WORLDCUP!$BI$112,1,0)</f>
        <v>0</v>
      </c>
      <c r="C59" s="9" t="str">
        <f ca="1">+WORLDCUP!BD65</f>
        <v>Saudi Arabia</v>
      </c>
      <c r="D59" s="9" t="str">
        <f ca="1">+WORLDCUP!BD64</f>
        <v>Iran</v>
      </c>
      <c r="E59" s="9" t="str">
        <f ca="1">+WORLDCUP!BD59</f>
        <v>Qatar</v>
      </c>
      <c r="F59" s="9" t="str">
        <f ca="1">+WORLDCUP!BD61</f>
        <v>Australia</v>
      </c>
      <c r="G59" s="9" t="str">
        <f ca="1">+WORLDCUP!BD66</f>
        <v>Iraq</v>
      </c>
      <c r="H59" s="9" t="str">
        <f ca="1">+WORLDCUP!BD63</f>
        <v>Sweden</v>
      </c>
      <c r="I59" s="9" t="str">
        <f ca="1">+WORLDCUP!BD69</f>
        <v>Ghana</v>
      </c>
      <c r="J59" s="9" t="str">
        <f ca="1">+WORLDCUP!BD68</f>
        <v>Uzbekistan</v>
      </c>
      <c r="N59" s="16" t="s">
        <v>1163</v>
      </c>
      <c r="O59" s="16">
        <v>58</v>
      </c>
      <c r="P59" s="16" t="s">
        <v>446</v>
      </c>
      <c r="Q59" s="16" t="s">
        <v>445</v>
      </c>
      <c r="R59" s="16" t="s">
        <v>91</v>
      </c>
      <c r="S59" s="16" t="s">
        <v>93</v>
      </c>
      <c r="T59" s="16" t="s">
        <v>450</v>
      </c>
      <c r="U59" s="16" t="s">
        <v>95</v>
      </c>
      <c r="V59" s="16" t="s">
        <v>453</v>
      </c>
      <c r="W59" s="16" t="s">
        <v>452</v>
      </c>
    </row>
    <row r="60" spans="1:23" x14ac:dyDescent="0.2">
      <c r="A60" s="9" t="s">
        <v>1162</v>
      </c>
      <c r="B60" s="9">
        <f ca="1">+IF(A60=WORLDCUP!$BI$112,1,0)</f>
        <v>0</v>
      </c>
      <c r="C60" s="9" t="str">
        <f ca="1">+WORLDCUP!BD65</f>
        <v>Saudi Arabia</v>
      </c>
      <c r="D60" s="9" t="str">
        <f ca="1">+WORLDCUP!BD64</f>
        <v>Iran</v>
      </c>
      <c r="E60" s="9" t="str">
        <f ca="1">+WORLDCUP!BD59</f>
        <v>Qatar</v>
      </c>
      <c r="F60" s="9" t="str">
        <f ca="1">+WORLDCUP!BD61</f>
        <v>Australia</v>
      </c>
      <c r="G60" s="9" t="str">
        <f ca="1">+WORLDCUP!BD67</f>
        <v>Austria</v>
      </c>
      <c r="H60" s="9" t="str">
        <f ca="1">+WORLDCUP!BD63</f>
        <v>Sweden</v>
      </c>
      <c r="I60" s="9" t="str">
        <f ca="1">+WORLDCUP!BD69</f>
        <v>Ghana</v>
      </c>
      <c r="J60" s="9" t="str">
        <f ca="1">+WORLDCUP!BD66</f>
        <v>Iraq</v>
      </c>
      <c r="N60" s="16" t="s">
        <v>1162</v>
      </c>
      <c r="O60" s="16">
        <v>59</v>
      </c>
      <c r="P60" s="16" t="s">
        <v>446</v>
      </c>
      <c r="Q60" s="16" t="s">
        <v>445</v>
      </c>
      <c r="R60" s="16" t="s">
        <v>91</v>
      </c>
      <c r="S60" s="16" t="s">
        <v>93</v>
      </c>
      <c r="T60" s="16" t="s">
        <v>451</v>
      </c>
      <c r="U60" s="16" t="s">
        <v>95</v>
      </c>
      <c r="V60" s="16" t="s">
        <v>453</v>
      </c>
      <c r="W60" s="16" t="s">
        <v>450</v>
      </c>
    </row>
    <row r="61" spans="1:23" x14ac:dyDescent="0.2">
      <c r="A61" s="9" t="s">
        <v>1161</v>
      </c>
      <c r="B61" s="9">
        <f ca="1">+IF(A61=WORLDCUP!$BI$112,1,0)</f>
        <v>0</v>
      </c>
      <c r="C61" s="9" t="str">
        <f ca="1">+WORLDCUP!BD65</f>
        <v>Saudi Arabia</v>
      </c>
      <c r="D61" s="9" t="str">
        <f ca="1">+WORLDCUP!BD64</f>
        <v>Iran</v>
      </c>
      <c r="E61" s="9" t="str">
        <f ca="1">+WORLDCUP!BD59</f>
        <v>Qatar</v>
      </c>
      <c r="F61" s="9" t="str">
        <f ca="1">+WORLDCUP!BD61</f>
        <v>Australia</v>
      </c>
      <c r="G61" s="9" t="str">
        <f ca="1">+WORLDCUP!BD67</f>
        <v>Austria</v>
      </c>
      <c r="H61" s="9" t="str">
        <f ca="1">+WORLDCUP!BD63</f>
        <v>Sweden</v>
      </c>
      <c r="I61" s="9" t="str">
        <f ca="1">+WORLDCUP!BD66</f>
        <v>Iraq</v>
      </c>
      <c r="J61" s="9" t="str">
        <f ca="1">+WORLDCUP!BD68</f>
        <v>Uzbekistan</v>
      </c>
      <c r="N61" s="16" t="s">
        <v>1161</v>
      </c>
      <c r="O61" s="16">
        <v>60</v>
      </c>
      <c r="P61" s="16" t="s">
        <v>446</v>
      </c>
      <c r="Q61" s="16" t="s">
        <v>445</v>
      </c>
      <c r="R61" s="16" t="s">
        <v>91</v>
      </c>
      <c r="S61" s="16" t="s">
        <v>93</v>
      </c>
      <c r="T61" s="16" t="s">
        <v>451</v>
      </c>
      <c r="U61" s="16" t="s">
        <v>95</v>
      </c>
      <c r="V61" s="16" t="s">
        <v>450</v>
      </c>
      <c r="W61" s="16" t="s">
        <v>452</v>
      </c>
    </row>
    <row r="62" spans="1:23" x14ac:dyDescent="0.2">
      <c r="A62" s="9" t="s">
        <v>1160</v>
      </c>
      <c r="B62" s="9">
        <f ca="1">+IF(A62=WORLDCUP!$BI$112,1,0)</f>
        <v>0</v>
      </c>
      <c r="C62" s="9" t="str">
        <f ca="1">+WORLDCUP!BD62</f>
        <v>Ivory Coast</v>
      </c>
      <c r="D62" s="9" t="str">
        <f ca="1">+WORLDCUP!BD67</f>
        <v>Austria</v>
      </c>
      <c r="E62" s="9" t="str">
        <f ca="1">+WORLDCUP!BD59</f>
        <v>Qatar</v>
      </c>
      <c r="F62" s="9" t="str">
        <f ca="1">+WORLDCUP!BD61</f>
        <v>Australia</v>
      </c>
      <c r="G62" s="9" t="str">
        <f ca="1">+WORLDCUP!BD66</f>
        <v>Iraq</v>
      </c>
      <c r="H62" s="9" t="str">
        <f ca="1">+WORLDCUP!BD65</f>
        <v>Saudi Arabia</v>
      </c>
      <c r="I62" s="9" t="str">
        <f ca="1">+WORLDCUP!BD69</f>
        <v>Ghana</v>
      </c>
      <c r="J62" s="9" t="str">
        <f ca="1">+WORLDCUP!BD68</f>
        <v>Uzbekistan</v>
      </c>
      <c r="N62" s="16" t="s">
        <v>1160</v>
      </c>
      <c r="O62" s="16">
        <v>61</v>
      </c>
      <c r="P62" s="16" t="s">
        <v>94</v>
      </c>
      <c r="Q62" s="16" t="s">
        <v>451</v>
      </c>
      <c r="R62" s="16" t="s">
        <v>91</v>
      </c>
      <c r="S62" s="16" t="s">
        <v>93</v>
      </c>
      <c r="T62" s="16" t="s">
        <v>450</v>
      </c>
      <c r="U62" s="16" t="s">
        <v>446</v>
      </c>
      <c r="V62" s="16" t="s">
        <v>453</v>
      </c>
      <c r="W62" s="16" t="s">
        <v>452</v>
      </c>
    </row>
    <row r="63" spans="1:23" x14ac:dyDescent="0.2">
      <c r="A63" s="9" t="s">
        <v>1159</v>
      </c>
      <c r="B63" s="9">
        <f ca="1">+IF(A63=WORLDCUP!$BI$112,1,0)</f>
        <v>0</v>
      </c>
      <c r="C63" s="9" t="str">
        <f ca="1">+WORLDCUP!BD62</f>
        <v>Ivory Coast</v>
      </c>
      <c r="D63" s="9" t="str">
        <f ca="1">+WORLDCUP!BD67</f>
        <v>Austria</v>
      </c>
      <c r="E63" s="9" t="str">
        <f ca="1">+WORLDCUP!BD59</f>
        <v>Qatar</v>
      </c>
      <c r="F63" s="9" t="str">
        <f ca="1">+WORLDCUP!BD61</f>
        <v>Australia</v>
      </c>
      <c r="G63" s="9" t="str">
        <f ca="1">+WORLDCUP!BD66</f>
        <v>Iraq</v>
      </c>
      <c r="H63" s="9" t="str">
        <f ca="1">+WORLDCUP!BD64</f>
        <v>Iran</v>
      </c>
      <c r="I63" s="9" t="str">
        <f ca="1">+WORLDCUP!BD69</f>
        <v>Ghana</v>
      </c>
      <c r="J63" s="9" t="str">
        <f ca="1">+WORLDCUP!BD68</f>
        <v>Uzbekistan</v>
      </c>
      <c r="N63" s="16" t="s">
        <v>1159</v>
      </c>
      <c r="O63" s="16">
        <v>62</v>
      </c>
      <c r="P63" s="16" t="s">
        <v>94</v>
      </c>
      <c r="Q63" s="16" t="s">
        <v>451</v>
      </c>
      <c r="R63" s="16" t="s">
        <v>91</v>
      </c>
      <c r="S63" s="16" t="s">
        <v>93</v>
      </c>
      <c r="T63" s="16" t="s">
        <v>450</v>
      </c>
      <c r="U63" s="16" t="s">
        <v>445</v>
      </c>
      <c r="V63" s="16" t="s">
        <v>453</v>
      </c>
      <c r="W63" s="16" t="s">
        <v>452</v>
      </c>
    </row>
    <row r="64" spans="1:23" x14ac:dyDescent="0.2">
      <c r="A64" s="9" t="s">
        <v>1158</v>
      </c>
      <c r="B64" s="9">
        <f ca="1">+IF(A64=WORLDCUP!$BI$112,1,0)</f>
        <v>0</v>
      </c>
      <c r="C64" s="9" t="str">
        <f ca="1">+WORLDCUP!BD62</f>
        <v>Ivory Coast</v>
      </c>
      <c r="D64" s="9" t="str">
        <f ca="1">+WORLDCUP!BD67</f>
        <v>Austria</v>
      </c>
      <c r="E64" s="9" t="str">
        <f ca="1">+WORLDCUP!BD59</f>
        <v>Qatar</v>
      </c>
      <c r="F64" s="9" t="str">
        <f ca="1">+WORLDCUP!BD61</f>
        <v>Australia</v>
      </c>
      <c r="G64" s="9" t="str">
        <f ca="1">+WORLDCUP!BD65</f>
        <v>Saudi Arabia</v>
      </c>
      <c r="H64" s="9" t="str">
        <f ca="1">+WORLDCUP!BD64</f>
        <v>Iran</v>
      </c>
      <c r="I64" s="9" t="str">
        <f ca="1">+WORLDCUP!BD69</f>
        <v>Ghana</v>
      </c>
      <c r="J64" s="9" t="str">
        <f ca="1">+WORLDCUP!BD68</f>
        <v>Uzbekistan</v>
      </c>
      <c r="N64" s="16" t="s">
        <v>1158</v>
      </c>
      <c r="O64" s="16">
        <v>63</v>
      </c>
      <c r="P64" s="16" t="s">
        <v>94</v>
      </c>
      <c r="Q64" s="16" t="s">
        <v>451</v>
      </c>
      <c r="R64" s="16" t="s">
        <v>91</v>
      </c>
      <c r="S64" s="16" t="s">
        <v>93</v>
      </c>
      <c r="T64" s="16" t="s">
        <v>446</v>
      </c>
      <c r="U64" s="16" t="s">
        <v>445</v>
      </c>
      <c r="V64" s="16" t="s">
        <v>453</v>
      </c>
      <c r="W64" s="16" t="s">
        <v>452</v>
      </c>
    </row>
    <row r="65" spans="1:23" x14ac:dyDescent="0.2">
      <c r="A65" s="9" t="s">
        <v>1157</v>
      </c>
      <c r="B65" s="9">
        <f ca="1">+IF(A65=WORLDCUP!$BI$112,1,0)</f>
        <v>0</v>
      </c>
      <c r="C65" s="9" t="str">
        <f ca="1">+WORLDCUP!BD62</f>
        <v>Ivory Coast</v>
      </c>
      <c r="D65" s="9" t="str">
        <f ca="1">+WORLDCUP!BD64</f>
        <v>Iran</v>
      </c>
      <c r="E65" s="9" t="str">
        <f ca="1">+WORLDCUP!BD59</f>
        <v>Qatar</v>
      </c>
      <c r="F65" s="9" t="str">
        <f ca="1">+WORLDCUP!BD61</f>
        <v>Australia</v>
      </c>
      <c r="G65" s="9" t="str">
        <f ca="1">+WORLDCUP!BD66</f>
        <v>Iraq</v>
      </c>
      <c r="H65" s="9" t="str">
        <f ca="1">+WORLDCUP!BD65</f>
        <v>Saudi Arabia</v>
      </c>
      <c r="I65" s="9" t="str">
        <f ca="1">+WORLDCUP!BD69</f>
        <v>Ghana</v>
      </c>
      <c r="J65" s="9" t="str">
        <f ca="1">+WORLDCUP!BD68</f>
        <v>Uzbekistan</v>
      </c>
      <c r="N65" s="16" t="s">
        <v>1157</v>
      </c>
      <c r="O65" s="16">
        <v>64</v>
      </c>
      <c r="P65" s="16" t="s">
        <v>94</v>
      </c>
      <c r="Q65" s="16" t="s">
        <v>445</v>
      </c>
      <c r="R65" s="16" t="s">
        <v>91</v>
      </c>
      <c r="S65" s="16" t="s">
        <v>93</v>
      </c>
      <c r="T65" s="16" t="s">
        <v>450</v>
      </c>
      <c r="U65" s="16" t="s">
        <v>446</v>
      </c>
      <c r="V65" s="16" t="s">
        <v>453</v>
      </c>
      <c r="W65" s="16" t="s">
        <v>452</v>
      </c>
    </row>
    <row r="66" spans="1:23" x14ac:dyDescent="0.2">
      <c r="A66" s="9" t="s">
        <v>1156</v>
      </c>
      <c r="B66" s="9">
        <f ca="1">+IF(A66=WORLDCUP!$BI$112,1,0)</f>
        <v>0</v>
      </c>
      <c r="C66" s="9" t="str">
        <f ca="1">+WORLDCUP!BD62</f>
        <v>Ivory Coast</v>
      </c>
      <c r="D66" s="9" t="str">
        <f ca="1">+WORLDCUP!BD67</f>
        <v>Austria</v>
      </c>
      <c r="E66" s="9" t="str">
        <f ca="1">+WORLDCUP!BD59</f>
        <v>Qatar</v>
      </c>
      <c r="F66" s="9" t="str">
        <f ca="1">+WORLDCUP!BD61</f>
        <v>Australia</v>
      </c>
      <c r="G66" s="9" t="str">
        <f ca="1">+WORLDCUP!BD65</f>
        <v>Saudi Arabia</v>
      </c>
      <c r="H66" s="9" t="str">
        <f ca="1">+WORLDCUP!BD64</f>
        <v>Iran</v>
      </c>
      <c r="I66" s="9" t="str">
        <f ca="1">+WORLDCUP!BD69</f>
        <v>Ghana</v>
      </c>
      <c r="J66" s="9" t="str">
        <f ca="1">+WORLDCUP!BD66</f>
        <v>Iraq</v>
      </c>
      <c r="N66" s="16" t="s">
        <v>1156</v>
      </c>
      <c r="O66" s="16">
        <v>65</v>
      </c>
      <c r="P66" s="16" t="s">
        <v>94</v>
      </c>
      <c r="Q66" s="16" t="s">
        <v>451</v>
      </c>
      <c r="R66" s="16" t="s">
        <v>91</v>
      </c>
      <c r="S66" s="16" t="s">
        <v>93</v>
      </c>
      <c r="T66" s="16" t="s">
        <v>446</v>
      </c>
      <c r="U66" s="16" t="s">
        <v>445</v>
      </c>
      <c r="V66" s="16" t="s">
        <v>453</v>
      </c>
      <c r="W66" s="16" t="s">
        <v>450</v>
      </c>
    </row>
    <row r="67" spans="1:23" x14ac:dyDescent="0.2">
      <c r="A67" s="9" t="s">
        <v>1155</v>
      </c>
      <c r="B67" s="9">
        <f ca="1">+IF(A67=WORLDCUP!$BI$112,1,0)</f>
        <v>0</v>
      </c>
      <c r="C67" s="9" t="str">
        <f ca="1">+WORLDCUP!BD62</f>
        <v>Ivory Coast</v>
      </c>
      <c r="D67" s="9" t="str">
        <f ca="1">+WORLDCUP!BD67</f>
        <v>Austria</v>
      </c>
      <c r="E67" s="9" t="str">
        <f ca="1">+WORLDCUP!BD59</f>
        <v>Qatar</v>
      </c>
      <c r="F67" s="9" t="str">
        <f ca="1">+WORLDCUP!BD61</f>
        <v>Australia</v>
      </c>
      <c r="G67" s="9" t="str">
        <f ca="1">+WORLDCUP!BD65</f>
        <v>Saudi Arabia</v>
      </c>
      <c r="H67" s="9" t="str">
        <f ca="1">+WORLDCUP!BD64</f>
        <v>Iran</v>
      </c>
      <c r="I67" s="9" t="str">
        <f ca="1">+WORLDCUP!BD66</f>
        <v>Iraq</v>
      </c>
      <c r="J67" s="9" t="str">
        <f ca="1">+WORLDCUP!BD68</f>
        <v>Uzbekistan</v>
      </c>
      <c r="N67" s="16" t="s">
        <v>1155</v>
      </c>
      <c r="O67" s="16">
        <v>66</v>
      </c>
      <c r="P67" s="16" t="s">
        <v>94</v>
      </c>
      <c r="Q67" s="16" t="s">
        <v>451</v>
      </c>
      <c r="R67" s="16" t="s">
        <v>91</v>
      </c>
      <c r="S67" s="16" t="s">
        <v>93</v>
      </c>
      <c r="T67" s="16" t="s">
        <v>446</v>
      </c>
      <c r="U67" s="16" t="s">
        <v>445</v>
      </c>
      <c r="V67" s="16" t="s">
        <v>450</v>
      </c>
      <c r="W67" s="16" t="s">
        <v>452</v>
      </c>
    </row>
    <row r="68" spans="1:23" x14ac:dyDescent="0.2">
      <c r="A68" s="9" t="s">
        <v>1154</v>
      </c>
      <c r="B68" s="9">
        <f ca="1">+IF(A68=WORLDCUP!$BI$112,1,0)</f>
        <v>0</v>
      </c>
      <c r="C68" s="9" t="str">
        <f ca="1">+WORLDCUP!BD62</f>
        <v>Ivory Coast</v>
      </c>
      <c r="D68" s="9" t="str">
        <f ca="1">+WORLDCUP!BD67</f>
        <v>Austria</v>
      </c>
      <c r="E68" s="9" t="str">
        <f ca="1">+WORLDCUP!BD59</f>
        <v>Qatar</v>
      </c>
      <c r="F68" s="9" t="str">
        <f ca="1">+WORLDCUP!BD61</f>
        <v>Australia</v>
      </c>
      <c r="G68" s="9" t="str">
        <f ca="1">+WORLDCUP!BD66</f>
        <v>Iraq</v>
      </c>
      <c r="H68" s="9" t="str">
        <f ca="1">+WORLDCUP!BD63</f>
        <v>Sweden</v>
      </c>
      <c r="I68" s="9" t="str">
        <f ca="1">+WORLDCUP!BD69</f>
        <v>Ghana</v>
      </c>
      <c r="J68" s="9" t="str">
        <f ca="1">+WORLDCUP!BD68</f>
        <v>Uzbekistan</v>
      </c>
      <c r="N68" s="16" t="s">
        <v>1154</v>
      </c>
      <c r="O68" s="16">
        <v>67</v>
      </c>
      <c r="P68" s="16" t="s">
        <v>94</v>
      </c>
      <c r="Q68" s="16" t="s">
        <v>451</v>
      </c>
      <c r="R68" s="16" t="s">
        <v>91</v>
      </c>
      <c r="S68" s="16" t="s">
        <v>93</v>
      </c>
      <c r="T68" s="16" t="s">
        <v>450</v>
      </c>
      <c r="U68" s="16" t="s">
        <v>95</v>
      </c>
      <c r="V68" s="16" t="s">
        <v>453</v>
      </c>
      <c r="W68" s="16" t="s">
        <v>452</v>
      </c>
    </row>
    <row r="69" spans="1:23" x14ac:dyDescent="0.2">
      <c r="A69" s="9" t="s">
        <v>1153</v>
      </c>
      <c r="B69" s="9">
        <f ca="1">+IF(A69=WORLDCUP!$BI$112,1,0)</f>
        <v>0</v>
      </c>
      <c r="C69" s="9" t="str">
        <f ca="1">+WORLDCUP!BD62</f>
        <v>Ivory Coast</v>
      </c>
      <c r="D69" s="9" t="str">
        <f ca="1">+WORLDCUP!BD67</f>
        <v>Austria</v>
      </c>
      <c r="E69" s="9" t="str">
        <f ca="1">+WORLDCUP!BD59</f>
        <v>Qatar</v>
      </c>
      <c r="F69" s="9" t="str">
        <f ca="1">+WORLDCUP!BD61</f>
        <v>Australia</v>
      </c>
      <c r="G69" s="9" t="str">
        <f ca="1">+WORLDCUP!BD65</f>
        <v>Saudi Arabia</v>
      </c>
      <c r="H69" s="9" t="str">
        <f ca="1">+WORLDCUP!BD63</f>
        <v>Sweden</v>
      </c>
      <c r="I69" s="9" t="str">
        <f ca="1">+WORLDCUP!BD69</f>
        <v>Ghana</v>
      </c>
      <c r="J69" s="9" t="str">
        <f ca="1">+WORLDCUP!BD68</f>
        <v>Uzbekistan</v>
      </c>
      <c r="N69" s="16" t="s">
        <v>1153</v>
      </c>
      <c r="O69" s="16">
        <v>68</v>
      </c>
      <c r="P69" s="16" t="s">
        <v>94</v>
      </c>
      <c r="Q69" s="16" t="s">
        <v>451</v>
      </c>
      <c r="R69" s="16" t="s">
        <v>91</v>
      </c>
      <c r="S69" s="16" t="s">
        <v>93</v>
      </c>
      <c r="T69" s="16" t="s">
        <v>446</v>
      </c>
      <c r="U69" s="16" t="s">
        <v>95</v>
      </c>
      <c r="V69" s="16" t="s">
        <v>453</v>
      </c>
      <c r="W69" s="16" t="s">
        <v>452</v>
      </c>
    </row>
    <row r="70" spans="1:23" x14ac:dyDescent="0.2">
      <c r="A70" s="9" t="s">
        <v>1152</v>
      </c>
      <c r="B70" s="9">
        <f ca="1">+IF(A70=WORLDCUP!$BI$112,1,0)</f>
        <v>0</v>
      </c>
      <c r="C70" s="9" t="str">
        <f ca="1">+WORLDCUP!BD62</f>
        <v>Ivory Coast</v>
      </c>
      <c r="D70" s="9" t="str">
        <f ca="1">+WORLDCUP!BD66</f>
        <v>Iraq</v>
      </c>
      <c r="E70" s="9" t="str">
        <f ca="1">+WORLDCUP!BD59</f>
        <v>Qatar</v>
      </c>
      <c r="F70" s="9" t="str">
        <f ca="1">+WORLDCUP!BD61</f>
        <v>Australia</v>
      </c>
      <c r="G70" s="9" t="str">
        <f ca="1">+WORLDCUP!BD65</f>
        <v>Saudi Arabia</v>
      </c>
      <c r="H70" s="9" t="str">
        <f ca="1">+WORLDCUP!BD63</f>
        <v>Sweden</v>
      </c>
      <c r="I70" s="9" t="str">
        <f ca="1">+WORLDCUP!BD69</f>
        <v>Ghana</v>
      </c>
      <c r="J70" s="9" t="str">
        <f ca="1">+WORLDCUP!BD68</f>
        <v>Uzbekistan</v>
      </c>
      <c r="N70" s="16" t="s">
        <v>1152</v>
      </c>
      <c r="O70" s="16">
        <v>69</v>
      </c>
      <c r="P70" s="16" t="s">
        <v>94</v>
      </c>
      <c r="Q70" s="16" t="s">
        <v>450</v>
      </c>
      <c r="R70" s="16" t="s">
        <v>91</v>
      </c>
      <c r="S70" s="16" t="s">
        <v>93</v>
      </c>
      <c r="T70" s="16" t="s">
        <v>446</v>
      </c>
      <c r="U70" s="16" t="s">
        <v>95</v>
      </c>
      <c r="V70" s="16" t="s">
        <v>453</v>
      </c>
      <c r="W70" s="16" t="s">
        <v>452</v>
      </c>
    </row>
    <row r="71" spans="1:23" x14ac:dyDescent="0.2">
      <c r="A71" s="9" t="s">
        <v>1151</v>
      </c>
      <c r="B71" s="9">
        <f ca="1">+IF(A71=WORLDCUP!$BI$112,1,0)</f>
        <v>0</v>
      </c>
      <c r="C71" s="9" t="str">
        <f ca="1">+WORLDCUP!BD62</f>
        <v>Ivory Coast</v>
      </c>
      <c r="D71" s="9" t="str">
        <f ca="1">+WORLDCUP!BD67</f>
        <v>Austria</v>
      </c>
      <c r="E71" s="9" t="str">
        <f ca="1">+WORLDCUP!BD59</f>
        <v>Qatar</v>
      </c>
      <c r="F71" s="9" t="str">
        <f ca="1">+WORLDCUP!BD61</f>
        <v>Australia</v>
      </c>
      <c r="G71" s="9" t="str">
        <f ca="1">+WORLDCUP!BD65</f>
        <v>Saudi Arabia</v>
      </c>
      <c r="H71" s="9" t="str">
        <f ca="1">+WORLDCUP!BD63</f>
        <v>Sweden</v>
      </c>
      <c r="I71" s="9" t="str">
        <f ca="1">+WORLDCUP!BD69</f>
        <v>Ghana</v>
      </c>
      <c r="J71" s="9" t="str">
        <f ca="1">+WORLDCUP!BD66</f>
        <v>Iraq</v>
      </c>
      <c r="N71" s="16" t="s">
        <v>1151</v>
      </c>
      <c r="O71" s="16">
        <v>70</v>
      </c>
      <c r="P71" s="16" t="s">
        <v>94</v>
      </c>
      <c r="Q71" s="16" t="s">
        <v>451</v>
      </c>
      <c r="R71" s="16" t="s">
        <v>91</v>
      </c>
      <c r="S71" s="16" t="s">
        <v>93</v>
      </c>
      <c r="T71" s="16" t="s">
        <v>446</v>
      </c>
      <c r="U71" s="16" t="s">
        <v>95</v>
      </c>
      <c r="V71" s="16" t="s">
        <v>453</v>
      </c>
      <c r="W71" s="16" t="s">
        <v>450</v>
      </c>
    </row>
    <row r="72" spans="1:23" x14ac:dyDescent="0.2">
      <c r="A72" s="9" t="s">
        <v>1150</v>
      </c>
      <c r="B72" s="9">
        <f ca="1">+IF(A72=WORLDCUP!$BI$112,1,0)</f>
        <v>0</v>
      </c>
      <c r="C72" s="9" t="str">
        <f ca="1">+WORLDCUP!BD62</f>
        <v>Ivory Coast</v>
      </c>
      <c r="D72" s="9" t="str">
        <f ca="1">+WORLDCUP!BD67</f>
        <v>Austria</v>
      </c>
      <c r="E72" s="9" t="str">
        <f ca="1">+WORLDCUP!BD59</f>
        <v>Qatar</v>
      </c>
      <c r="F72" s="9" t="str">
        <f ca="1">+WORLDCUP!BD61</f>
        <v>Australia</v>
      </c>
      <c r="G72" s="9" t="str">
        <f ca="1">+WORLDCUP!BD65</f>
        <v>Saudi Arabia</v>
      </c>
      <c r="H72" s="9" t="str">
        <f ca="1">+WORLDCUP!BD63</f>
        <v>Sweden</v>
      </c>
      <c r="I72" s="9" t="str">
        <f ca="1">+WORLDCUP!BD66</f>
        <v>Iraq</v>
      </c>
      <c r="J72" s="9" t="str">
        <f ca="1">+WORLDCUP!BD68</f>
        <v>Uzbekistan</v>
      </c>
      <c r="N72" s="16" t="s">
        <v>1150</v>
      </c>
      <c r="O72" s="16">
        <v>71</v>
      </c>
      <c r="P72" s="16" t="s">
        <v>94</v>
      </c>
      <c r="Q72" s="16" t="s">
        <v>451</v>
      </c>
      <c r="R72" s="16" t="s">
        <v>91</v>
      </c>
      <c r="S72" s="16" t="s">
        <v>93</v>
      </c>
      <c r="T72" s="16" t="s">
        <v>446</v>
      </c>
      <c r="U72" s="16" t="s">
        <v>95</v>
      </c>
      <c r="V72" s="16" t="s">
        <v>450</v>
      </c>
      <c r="W72" s="16" t="s">
        <v>452</v>
      </c>
    </row>
    <row r="73" spans="1:23" x14ac:dyDescent="0.2">
      <c r="A73" s="9" t="s">
        <v>1149</v>
      </c>
      <c r="B73" s="9">
        <f ca="1">+IF(A73=WORLDCUP!$BI$112,1,0)</f>
        <v>0</v>
      </c>
      <c r="C73" s="9" t="str">
        <f ca="1">+WORLDCUP!BD62</f>
        <v>Ivory Coast</v>
      </c>
      <c r="D73" s="9" t="str">
        <f ca="1">+WORLDCUP!BD64</f>
        <v>Iran</v>
      </c>
      <c r="E73" s="9" t="str">
        <f ca="1">+WORLDCUP!BD59</f>
        <v>Qatar</v>
      </c>
      <c r="F73" s="9" t="str">
        <f ca="1">+WORLDCUP!BD61</f>
        <v>Australia</v>
      </c>
      <c r="G73" s="9" t="str">
        <f ca="1">+WORLDCUP!BD67</f>
        <v>Austria</v>
      </c>
      <c r="H73" s="9" t="str">
        <f ca="1">+WORLDCUP!BD63</f>
        <v>Sweden</v>
      </c>
      <c r="I73" s="9" t="str">
        <f ca="1">+WORLDCUP!BD69</f>
        <v>Ghana</v>
      </c>
      <c r="J73" s="9" t="str">
        <f ca="1">+WORLDCUP!BD68</f>
        <v>Uzbekistan</v>
      </c>
      <c r="N73" s="16" t="s">
        <v>1149</v>
      </c>
      <c r="O73" s="16">
        <v>72</v>
      </c>
      <c r="P73" s="16" t="s">
        <v>94</v>
      </c>
      <c r="Q73" s="16" t="s">
        <v>445</v>
      </c>
      <c r="R73" s="16" t="s">
        <v>91</v>
      </c>
      <c r="S73" s="16" t="s">
        <v>93</v>
      </c>
      <c r="T73" s="16" t="s">
        <v>451</v>
      </c>
      <c r="U73" s="16" t="s">
        <v>95</v>
      </c>
      <c r="V73" s="16" t="s">
        <v>453</v>
      </c>
      <c r="W73" s="16" t="s">
        <v>452</v>
      </c>
    </row>
    <row r="74" spans="1:23" x14ac:dyDescent="0.2">
      <c r="A74" s="9" t="s">
        <v>1148</v>
      </c>
      <c r="B74" s="9">
        <f ca="1">+IF(A74=WORLDCUP!$BI$112,1,0)</f>
        <v>0</v>
      </c>
      <c r="C74" s="9" t="str">
        <f ca="1">+WORLDCUP!BD62</f>
        <v>Ivory Coast</v>
      </c>
      <c r="D74" s="9" t="str">
        <f ca="1">+WORLDCUP!BD64</f>
        <v>Iran</v>
      </c>
      <c r="E74" s="9" t="str">
        <f ca="1">+WORLDCUP!BD59</f>
        <v>Qatar</v>
      </c>
      <c r="F74" s="9" t="str">
        <f ca="1">+WORLDCUP!BD61</f>
        <v>Australia</v>
      </c>
      <c r="G74" s="9" t="str">
        <f ca="1">+WORLDCUP!BD66</f>
        <v>Iraq</v>
      </c>
      <c r="H74" s="9" t="str">
        <f ca="1">+WORLDCUP!BD63</f>
        <v>Sweden</v>
      </c>
      <c r="I74" s="9" t="str">
        <f ca="1">+WORLDCUP!BD69</f>
        <v>Ghana</v>
      </c>
      <c r="J74" s="9" t="str">
        <f ca="1">+WORLDCUP!BD68</f>
        <v>Uzbekistan</v>
      </c>
      <c r="N74" s="16" t="s">
        <v>1148</v>
      </c>
      <c r="O74" s="16">
        <v>73</v>
      </c>
      <c r="P74" s="16" t="s">
        <v>94</v>
      </c>
      <c r="Q74" s="16" t="s">
        <v>445</v>
      </c>
      <c r="R74" s="16" t="s">
        <v>91</v>
      </c>
      <c r="S74" s="16" t="s">
        <v>93</v>
      </c>
      <c r="T74" s="16" t="s">
        <v>450</v>
      </c>
      <c r="U74" s="16" t="s">
        <v>95</v>
      </c>
      <c r="V74" s="16" t="s">
        <v>453</v>
      </c>
      <c r="W74" s="16" t="s">
        <v>452</v>
      </c>
    </row>
    <row r="75" spans="1:23" x14ac:dyDescent="0.2">
      <c r="A75" s="9" t="s">
        <v>1147</v>
      </c>
      <c r="B75" s="9">
        <f ca="1">+IF(A75=WORLDCUP!$BI$112,1,0)</f>
        <v>0</v>
      </c>
      <c r="C75" s="9" t="str">
        <f ca="1">+WORLDCUP!BD62</f>
        <v>Ivory Coast</v>
      </c>
      <c r="D75" s="9" t="str">
        <f ca="1">+WORLDCUP!BD64</f>
        <v>Iran</v>
      </c>
      <c r="E75" s="9" t="str">
        <f ca="1">+WORLDCUP!BD59</f>
        <v>Qatar</v>
      </c>
      <c r="F75" s="9" t="str">
        <f ca="1">+WORLDCUP!BD61</f>
        <v>Australia</v>
      </c>
      <c r="G75" s="9" t="str">
        <f ca="1">+WORLDCUP!BD67</f>
        <v>Austria</v>
      </c>
      <c r="H75" s="9" t="str">
        <f ca="1">+WORLDCUP!BD63</f>
        <v>Sweden</v>
      </c>
      <c r="I75" s="9" t="str">
        <f ca="1">+WORLDCUP!BD69</f>
        <v>Ghana</v>
      </c>
      <c r="J75" s="9" t="str">
        <f ca="1">+WORLDCUP!BD66</f>
        <v>Iraq</v>
      </c>
      <c r="N75" s="16" t="s">
        <v>1147</v>
      </c>
      <c r="O75" s="16">
        <v>74</v>
      </c>
      <c r="P75" s="16" t="s">
        <v>94</v>
      </c>
      <c r="Q75" s="16" t="s">
        <v>445</v>
      </c>
      <c r="R75" s="16" t="s">
        <v>91</v>
      </c>
      <c r="S75" s="16" t="s">
        <v>93</v>
      </c>
      <c r="T75" s="16" t="s">
        <v>451</v>
      </c>
      <c r="U75" s="16" t="s">
        <v>95</v>
      </c>
      <c r="V75" s="16" t="s">
        <v>453</v>
      </c>
      <c r="W75" s="16" t="s">
        <v>450</v>
      </c>
    </row>
    <row r="76" spans="1:23" x14ac:dyDescent="0.2">
      <c r="A76" s="9" t="s">
        <v>1146</v>
      </c>
      <c r="B76" s="9">
        <f ca="1">+IF(A76=WORLDCUP!$BI$112,1,0)</f>
        <v>0</v>
      </c>
      <c r="C76" s="9" t="str">
        <f ca="1">+WORLDCUP!BD62</f>
        <v>Ivory Coast</v>
      </c>
      <c r="D76" s="9" t="str">
        <f ca="1">+WORLDCUP!BD64</f>
        <v>Iran</v>
      </c>
      <c r="E76" s="9" t="str">
        <f ca="1">+WORLDCUP!BD59</f>
        <v>Qatar</v>
      </c>
      <c r="F76" s="9" t="str">
        <f ca="1">+WORLDCUP!BD61</f>
        <v>Australia</v>
      </c>
      <c r="G76" s="9" t="str">
        <f ca="1">+WORLDCUP!BD67</f>
        <v>Austria</v>
      </c>
      <c r="H76" s="9" t="str">
        <f ca="1">+WORLDCUP!BD63</f>
        <v>Sweden</v>
      </c>
      <c r="I76" s="9" t="str">
        <f ca="1">+WORLDCUP!BD66</f>
        <v>Iraq</v>
      </c>
      <c r="J76" s="9" t="str">
        <f ca="1">+WORLDCUP!BD68</f>
        <v>Uzbekistan</v>
      </c>
      <c r="N76" s="16" t="s">
        <v>1146</v>
      </c>
      <c r="O76" s="16">
        <v>75</v>
      </c>
      <c r="P76" s="16" t="s">
        <v>94</v>
      </c>
      <c r="Q76" s="16" t="s">
        <v>445</v>
      </c>
      <c r="R76" s="16" t="s">
        <v>91</v>
      </c>
      <c r="S76" s="16" t="s">
        <v>93</v>
      </c>
      <c r="T76" s="16" t="s">
        <v>451</v>
      </c>
      <c r="U76" s="16" t="s">
        <v>95</v>
      </c>
      <c r="V76" s="16" t="s">
        <v>450</v>
      </c>
      <c r="W76" s="16" t="s">
        <v>452</v>
      </c>
    </row>
    <row r="77" spans="1:23" x14ac:dyDescent="0.2">
      <c r="A77" s="9" t="s">
        <v>613</v>
      </c>
      <c r="B77" s="9">
        <f ca="1">+IF(A77=WORLDCUP!$BI$112,1,0)</f>
        <v>0</v>
      </c>
      <c r="C77" s="9" t="str">
        <f ca="1">+WORLDCUP!BD62</f>
        <v>Ivory Coast</v>
      </c>
      <c r="D77" s="9" t="str">
        <f ca="1">+WORLDCUP!BD64</f>
        <v>Iran</v>
      </c>
      <c r="E77" s="9" t="str">
        <f ca="1">+WORLDCUP!BD59</f>
        <v>Qatar</v>
      </c>
      <c r="F77" s="9" t="str">
        <f ca="1">+WORLDCUP!BD61</f>
        <v>Australia</v>
      </c>
      <c r="G77" s="9" t="str">
        <f ca="1">+WORLDCUP!BD65</f>
        <v>Saudi Arabia</v>
      </c>
      <c r="H77" s="9" t="str">
        <f ca="1">+WORLDCUP!BD63</f>
        <v>Sweden</v>
      </c>
      <c r="I77" s="9" t="str">
        <f ca="1">+WORLDCUP!BD69</f>
        <v>Ghana</v>
      </c>
      <c r="J77" s="9" t="str">
        <f ca="1">+WORLDCUP!BD68</f>
        <v>Uzbekistan</v>
      </c>
      <c r="N77" s="16" t="s">
        <v>613</v>
      </c>
      <c r="O77" s="16">
        <v>76</v>
      </c>
      <c r="P77" s="16" t="s">
        <v>94</v>
      </c>
      <c r="Q77" s="16" t="s">
        <v>445</v>
      </c>
      <c r="R77" s="16" t="s">
        <v>91</v>
      </c>
      <c r="S77" s="16" t="s">
        <v>93</v>
      </c>
      <c r="T77" s="16" t="s">
        <v>446</v>
      </c>
      <c r="U77" s="16" t="s">
        <v>95</v>
      </c>
      <c r="V77" s="16" t="s">
        <v>453</v>
      </c>
      <c r="W77" s="16" t="s">
        <v>452</v>
      </c>
    </row>
    <row r="78" spans="1:23" x14ac:dyDescent="0.2">
      <c r="A78" s="9" t="s">
        <v>612</v>
      </c>
      <c r="B78" s="9">
        <f ca="1">+IF(A78=WORLDCUP!$BI$112,1,0)</f>
        <v>0</v>
      </c>
      <c r="C78" s="9" t="str">
        <f ca="1">+WORLDCUP!BD65</f>
        <v>Saudi Arabia</v>
      </c>
      <c r="D78" s="9" t="str">
        <f ca="1">+WORLDCUP!BD64</f>
        <v>Iran</v>
      </c>
      <c r="E78" s="9" t="str">
        <f ca="1">+WORLDCUP!BD59</f>
        <v>Qatar</v>
      </c>
      <c r="F78" s="9" t="str">
        <f ca="1">+WORLDCUP!BD61</f>
        <v>Australia</v>
      </c>
      <c r="G78" s="9" t="str">
        <f ca="1">+WORLDCUP!BD67</f>
        <v>Austria</v>
      </c>
      <c r="H78" s="9" t="str">
        <f ca="1">+WORLDCUP!BD63</f>
        <v>Sweden</v>
      </c>
      <c r="I78" s="9" t="str">
        <f ca="1">+WORLDCUP!BD69</f>
        <v>Ghana</v>
      </c>
      <c r="J78" s="9" t="str">
        <f ca="1">+WORLDCUP!BD62</f>
        <v>Ivory Coast</v>
      </c>
      <c r="N78" s="16" t="s">
        <v>612</v>
      </c>
      <c r="O78" s="16">
        <v>77</v>
      </c>
      <c r="P78" s="16" t="s">
        <v>446</v>
      </c>
      <c r="Q78" s="16" t="s">
        <v>445</v>
      </c>
      <c r="R78" s="16" t="s">
        <v>91</v>
      </c>
      <c r="S78" s="16" t="s">
        <v>93</v>
      </c>
      <c r="T78" s="16" t="s">
        <v>451</v>
      </c>
      <c r="U78" s="16" t="s">
        <v>95</v>
      </c>
      <c r="V78" s="16" t="s">
        <v>453</v>
      </c>
      <c r="W78" s="16" t="s">
        <v>94</v>
      </c>
    </row>
    <row r="79" spans="1:23" x14ac:dyDescent="0.2">
      <c r="A79" s="9" t="s">
        <v>611</v>
      </c>
      <c r="B79" s="9">
        <f ca="1">+IF(A79=WORLDCUP!$BI$112,1,0)</f>
        <v>0</v>
      </c>
      <c r="C79" s="9" t="str">
        <f ca="1">+WORLDCUP!BD65</f>
        <v>Saudi Arabia</v>
      </c>
      <c r="D79" s="9" t="str">
        <f ca="1">+WORLDCUP!BD64</f>
        <v>Iran</v>
      </c>
      <c r="E79" s="9" t="str">
        <f ca="1">+WORLDCUP!BD59</f>
        <v>Qatar</v>
      </c>
      <c r="F79" s="9" t="str">
        <f ca="1">+WORLDCUP!BD61</f>
        <v>Australia</v>
      </c>
      <c r="G79" s="9" t="str">
        <f ca="1">+WORLDCUP!BD67</f>
        <v>Austria</v>
      </c>
      <c r="H79" s="9" t="str">
        <f ca="1">+WORLDCUP!BD63</f>
        <v>Sweden</v>
      </c>
      <c r="I79" s="9" t="str">
        <f ca="1">+WORLDCUP!BD62</f>
        <v>Ivory Coast</v>
      </c>
      <c r="J79" s="9" t="str">
        <f ca="1">+WORLDCUP!BD68</f>
        <v>Uzbekistan</v>
      </c>
      <c r="N79" s="16" t="s">
        <v>611</v>
      </c>
      <c r="O79" s="16">
        <v>78</v>
      </c>
      <c r="P79" s="16" t="s">
        <v>446</v>
      </c>
      <c r="Q79" s="16" t="s">
        <v>445</v>
      </c>
      <c r="R79" s="16" t="s">
        <v>91</v>
      </c>
      <c r="S79" s="16" t="s">
        <v>93</v>
      </c>
      <c r="T79" s="16" t="s">
        <v>451</v>
      </c>
      <c r="U79" s="16" t="s">
        <v>95</v>
      </c>
      <c r="V79" s="16" t="s">
        <v>94</v>
      </c>
      <c r="W79" s="16" t="s">
        <v>452</v>
      </c>
    </row>
    <row r="80" spans="1:23" x14ac:dyDescent="0.2">
      <c r="A80" s="9" t="s">
        <v>610</v>
      </c>
      <c r="B80" s="9">
        <f ca="1">+IF(A80=WORLDCUP!$BI$112,1,0)</f>
        <v>0</v>
      </c>
      <c r="C80" s="9" t="str">
        <f ca="1">+WORLDCUP!BD62</f>
        <v>Ivory Coast</v>
      </c>
      <c r="D80" s="9" t="str">
        <f ca="1">+WORLDCUP!BD64</f>
        <v>Iran</v>
      </c>
      <c r="E80" s="9" t="str">
        <f ca="1">+WORLDCUP!BD59</f>
        <v>Qatar</v>
      </c>
      <c r="F80" s="9" t="str">
        <f ca="1">+WORLDCUP!BD61</f>
        <v>Australia</v>
      </c>
      <c r="G80" s="9" t="str">
        <f ca="1">+WORLDCUP!BD65</f>
        <v>Saudi Arabia</v>
      </c>
      <c r="H80" s="9" t="str">
        <f ca="1">+WORLDCUP!BD63</f>
        <v>Sweden</v>
      </c>
      <c r="I80" s="9" t="str">
        <f ca="1">+WORLDCUP!BD69</f>
        <v>Ghana</v>
      </c>
      <c r="J80" s="9" t="str">
        <f ca="1">+WORLDCUP!BD66</f>
        <v>Iraq</v>
      </c>
      <c r="N80" s="16" t="s">
        <v>610</v>
      </c>
      <c r="O80" s="16">
        <v>79</v>
      </c>
      <c r="P80" s="16" t="s">
        <v>94</v>
      </c>
      <c r="Q80" s="16" t="s">
        <v>445</v>
      </c>
      <c r="R80" s="16" t="s">
        <v>91</v>
      </c>
      <c r="S80" s="16" t="s">
        <v>93</v>
      </c>
      <c r="T80" s="16" t="s">
        <v>446</v>
      </c>
      <c r="U80" s="16" t="s">
        <v>95</v>
      </c>
      <c r="V80" s="16" t="s">
        <v>453</v>
      </c>
      <c r="W80" s="16" t="s">
        <v>450</v>
      </c>
    </row>
    <row r="81" spans="1:23" x14ac:dyDescent="0.2">
      <c r="A81" s="9" t="s">
        <v>609</v>
      </c>
      <c r="B81" s="9">
        <f ca="1">+IF(A81=WORLDCUP!$BI$112,1,0)</f>
        <v>0</v>
      </c>
      <c r="C81" s="9" t="str">
        <f ca="1">+WORLDCUP!BD62</f>
        <v>Ivory Coast</v>
      </c>
      <c r="D81" s="9" t="str">
        <f ca="1">+WORLDCUP!BD64</f>
        <v>Iran</v>
      </c>
      <c r="E81" s="9" t="str">
        <f ca="1">+WORLDCUP!BD59</f>
        <v>Qatar</v>
      </c>
      <c r="F81" s="9" t="str">
        <f ca="1">+WORLDCUP!BD61</f>
        <v>Australia</v>
      </c>
      <c r="G81" s="9" t="str">
        <f ca="1">+WORLDCUP!BD65</f>
        <v>Saudi Arabia</v>
      </c>
      <c r="H81" s="9" t="str">
        <f ca="1">+WORLDCUP!BD63</f>
        <v>Sweden</v>
      </c>
      <c r="I81" s="9" t="str">
        <f ca="1">+WORLDCUP!BD66</f>
        <v>Iraq</v>
      </c>
      <c r="J81" s="9" t="str">
        <f ca="1">+WORLDCUP!BD68</f>
        <v>Uzbekistan</v>
      </c>
      <c r="N81" s="16" t="s">
        <v>609</v>
      </c>
      <c r="O81" s="16">
        <v>80</v>
      </c>
      <c r="P81" s="16" t="s">
        <v>94</v>
      </c>
      <c r="Q81" s="16" t="s">
        <v>445</v>
      </c>
      <c r="R81" s="16" t="s">
        <v>91</v>
      </c>
      <c r="S81" s="16" t="s">
        <v>93</v>
      </c>
      <c r="T81" s="16" t="s">
        <v>446</v>
      </c>
      <c r="U81" s="16" t="s">
        <v>95</v>
      </c>
      <c r="V81" s="16" t="s">
        <v>450</v>
      </c>
      <c r="W81" s="16" t="s">
        <v>452</v>
      </c>
    </row>
    <row r="82" spans="1:23" x14ac:dyDescent="0.2">
      <c r="A82" s="9" t="s">
        <v>608</v>
      </c>
      <c r="B82" s="9">
        <f ca="1">+IF(A82=WORLDCUP!$BI$112,1,0)</f>
        <v>0</v>
      </c>
      <c r="C82" s="9" t="str">
        <f ca="1">+WORLDCUP!BD65</f>
        <v>Saudi Arabia</v>
      </c>
      <c r="D82" s="9" t="str">
        <f ca="1">+WORLDCUP!BD64</f>
        <v>Iran</v>
      </c>
      <c r="E82" s="9" t="str">
        <f ca="1">+WORLDCUP!BD59</f>
        <v>Qatar</v>
      </c>
      <c r="F82" s="9" t="str">
        <f ca="1">+WORLDCUP!BD61</f>
        <v>Australia</v>
      </c>
      <c r="G82" s="9" t="str">
        <f ca="1">+WORLDCUP!BD67</f>
        <v>Austria</v>
      </c>
      <c r="H82" s="9" t="str">
        <f ca="1">+WORLDCUP!BD63</f>
        <v>Sweden</v>
      </c>
      <c r="I82" s="9" t="str">
        <f ca="1">+WORLDCUP!BD62</f>
        <v>Ivory Coast</v>
      </c>
      <c r="J82" s="9" t="str">
        <f ca="1">+WORLDCUP!BD66</f>
        <v>Iraq</v>
      </c>
      <c r="N82" s="16" t="s">
        <v>608</v>
      </c>
      <c r="O82" s="16">
        <v>81</v>
      </c>
      <c r="P82" s="16" t="s">
        <v>446</v>
      </c>
      <c r="Q82" s="16" t="s">
        <v>445</v>
      </c>
      <c r="R82" s="16" t="s">
        <v>91</v>
      </c>
      <c r="S82" s="16" t="s">
        <v>93</v>
      </c>
      <c r="T82" s="16" t="s">
        <v>451</v>
      </c>
      <c r="U82" s="16" t="s">
        <v>95</v>
      </c>
      <c r="V82" s="16" t="s">
        <v>94</v>
      </c>
      <c r="W82" s="16" t="s">
        <v>450</v>
      </c>
    </row>
    <row r="83" spans="1:23" x14ac:dyDescent="0.2">
      <c r="A83" s="9" t="s">
        <v>1145</v>
      </c>
      <c r="B83" s="9">
        <f ca="1">+IF(A83=WORLDCUP!$BI$112,1,0)</f>
        <v>0</v>
      </c>
      <c r="C83" s="9" t="str">
        <f ca="1">+WORLDCUP!BD65</f>
        <v>Saudi Arabia</v>
      </c>
      <c r="D83" s="9" t="str">
        <f ca="1">+WORLDCUP!BD67</f>
        <v>Austria</v>
      </c>
      <c r="E83" s="9" t="str">
        <f ca="1">+WORLDCUP!BD59</f>
        <v>Qatar</v>
      </c>
      <c r="F83" s="9" t="str">
        <f ca="1">+WORLDCUP!BD60</f>
        <v>Haiti</v>
      </c>
      <c r="G83" s="9" t="str">
        <f ca="1">+WORLDCUP!BD66</f>
        <v>Iraq</v>
      </c>
      <c r="H83" s="9" t="str">
        <f ca="1">+WORLDCUP!BD64</f>
        <v>Iran</v>
      </c>
      <c r="I83" s="9" t="str">
        <f ca="1">+WORLDCUP!BD69</f>
        <v>Ghana</v>
      </c>
      <c r="J83" s="9" t="str">
        <f ca="1">+WORLDCUP!BD68</f>
        <v>Uzbekistan</v>
      </c>
      <c r="N83" s="16" t="s">
        <v>1145</v>
      </c>
      <c r="O83" s="16">
        <v>82</v>
      </c>
      <c r="P83" s="16" t="s">
        <v>446</v>
      </c>
      <c r="Q83" s="16" t="s">
        <v>451</v>
      </c>
      <c r="R83" s="16" t="s">
        <v>91</v>
      </c>
      <c r="S83" s="16" t="s">
        <v>92</v>
      </c>
      <c r="T83" s="16" t="s">
        <v>450</v>
      </c>
      <c r="U83" s="16" t="s">
        <v>445</v>
      </c>
      <c r="V83" s="16" t="s">
        <v>453</v>
      </c>
      <c r="W83" s="16" t="s">
        <v>452</v>
      </c>
    </row>
    <row r="84" spans="1:23" x14ac:dyDescent="0.2">
      <c r="A84" s="9" t="s">
        <v>1144</v>
      </c>
      <c r="B84" s="9">
        <f ca="1">+IF(A84=WORLDCUP!$BI$112,1,0)</f>
        <v>0</v>
      </c>
      <c r="C84" s="9" t="str">
        <f ca="1">+WORLDCUP!BD65</f>
        <v>Saudi Arabia</v>
      </c>
      <c r="D84" s="9" t="str">
        <f ca="1">+WORLDCUP!BD67</f>
        <v>Austria</v>
      </c>
      <c r="E84" s="9" t="str">
        <f ca="1">+WORLDCUP!BD59</f>
        <v>Qatar</v>
      </c>
      <c r="F84" s="9" t="str">
        <f ca="1">+WORLDCUP!BD60</f>
        <v>Haiti</v>
      </c>
      <c r="G84" s="9" t="str">
        <f ca="1">+WORLDCUP!BD66</f>
        <v>Iraq</v>
      </c>
      <c r="H84" s="9" t="str">
        <f ca="1">+WORLDCUP!BD63</f>
        <v>Sweden</v>
      </c>
      <c r="I84" s="9" t="str">
        <f ca="1">+WORLDCUP!BD69</f>
        <v>Ghana</v>
      </c>
      <c r="J84" s="9" t="str">
        <f ca="1">+WORLDCUP!BD68</f>
        <v>Uzbekistan</v>
      </c>
      <c r="N84" s="16" t="s">
        <v>1144</v>
      </c>
      <c r="O84" s="16">
        <v>83</v>
      </c>
      <c r="P84" s="16" t="s">
        <v>446</v>
      </c>
      <c r="Q84" s="16" t="s">
        <v>451</v>
      </c>
      <c r="R84" s="16" t="s">
        <v>91</v>
      </c>
      <c r="S84" s="16" t="s">
        <v>92</v>
      </c>
      <c r="T84" s="16" t="s">
        <v>450</v>
      </c>
      <c r="U84" s="16" t="s">
        <v>95</v>
      </c>
      <c r="V84" s="16" t="s">
        <v>453</v>
      </c>
      <c r="W84" s="16" t="s">
        <v>452</v>
      </c>
    </row>
    <row r="85" spans="1:23" x14ac:dyDescent="0.2">
      <c r="A85" s="9" t="s">
        <v>1143</v>
      </c>
      <c r="B85" s="9">
        <f ca="1">+IF(A85=WORLDCUP!$BI$112,1,0)</f>
        <v>0</v>
      </c>
      <c r="C85" s="9" t="str">
        <f ca="1">+WORLDCUP!BD66</f>
        <v>Iraq</v>
      </c>
      <c r="D85" s="9" t="str">
        <f ca="1">+WORLDCUP!BD64</f>
        <v>Iran</v>
      </c>
      <c r="E85" s="9" t="str">
        <f ca="1">+WORLDCUP!BD59</f>
        <v>Qatar</v>
      </c>
      <c r="F85" s="9" t="str">
        <f ca="1">+WORLDCUP!BD60</f>
        <v>Haiti</v>
      </c>
      <c r="G85" s="9" t="str">
        <f ca="1">+WORLDCUP!BD67</f>
        <v>Austria</v>
      </c>
      <c r="H85" s="9" t="str">
        <f ca="1">+WORLDCUP!BD63</f>
        <v>Sweden</v>
      </c>
      <c r="I85" s="9" t="str">
        <f ca="1">+WORLDCUP!BD69</f>
        <v>Ghana</v>
      </c>
      <c r="J85" s="9" t="str">
        <f ca="1">+WORLDCUP!BD68</f>
        <v>Uzbekistan</v>
      </c>
      <c r="N85" s="16" t="s">
        <v>1143</v>
      </c>
      <c r="O85" s="16">
        <v>84</v>
      </c>
      <c r="P85" s="16" t="s">
        <v>450</v>
      </c>
      <c r="Q85" s="16" t="s">
        <v>445</v>
      </c>
      <c r="R85" s="16" t="s">
        <v>91</v>
      </c>
      <c r="S85" s="16" t="s">
        <v>92</v>
      </c>
      <c r="T85" s="16" t="s">
        <v>451</v>
      </c>
      <c r="U85" s="16" t="s">
        <v>95</v>
      </c>
      <c r="V85" s="16" t="s">
        <v>453</v>
      </c>
      <c r="W85" s="16" t="s">
        <v>452</v>
      </c>
    </row>
    <row r="86" spans="1:23" x14ac:dyDescent="0.2">
      <c r="A86" s="9" t="s">
        <v>1142</v>
      </c>
      <c r="B86" s="9">
        <f ca="1">+IF(A86=WORLDCUP!$BI$112,1,0)</f>
        <v>0</v>
      </c>
      <c r="C86" s="9" t="str">
        <f ca="1">+WORLDCUP!BD65</f>
        <v>Saudi Arabia</v>
      </c>
      <c r="D86" s="9" t="str">
        <f ca="1">+WORLDCUP!BD64</f>
        <v>Iran</v>
      </c>
      <c r="E86" s="9" t="str">
        <f ca="1">+WORLDCUP!BD59</f>
        <v>Qatar</v>
      </c>
      <c r="F86" s="9" t="str">
        <f ca="1">+WORLDCUP!BD60</f>
        <v>Haiti</v>
      </c>
      <c r="G86" s="9" t="str">
        <f ca="1">+WORLDCUP!BD67</f>
        <v>Austria</v>
      </c>
      <c r="H86" s="9" t="str">
        <f ca="1">+WORLDCUP!BD63</f>
        <v>Sweden</v>
      </c>
      <c r="I86" s="9" t="str">
        <f ca="1">+WORLDCUP!BD69</f>
        <v>Ghana</v>
      </c>
      <c r="J86" s="9" t="str">
        <f ca="1">+WORLDCUP!BD68</f>
        <v>Uzbekistan</v>
      </c>
      <c r="N86" s="16" t="s">
        <v>1142</v>
      </c>
      <c r="O86" s="16">
        <v>85</v>
      </c>
      <c r="P86" s="16" t="s">
        <v>446</v>
      </c>
      <c r="Q86" s="16" t="s">
        <v>445</v>
      </c>
      <c r="R86" s="16" t="s">
        <v>91</v>
      </c>
      <c r="S86" s="16" t="s">
        <v>92</v>
      </c>
      <c r="T86" s="16" t="s">
        <v>451</v>
      </c>
      <c r="U86" s="16" t="s">
        <v>95</v>
      </c>
      <c r="V86" s="16" t="s">
        <v>453</v>
      </c>
      <c r="W86" s="16" t="s">
        <v>452</v>
      </c>
    </row>
    <row r="87" spans="1:23" x14ac:dyDescent="0.2">
      <c r="A87" s="9" t="s">
        <v>1141</v>
      </c>
      <c r="B87" s="9">
        <f ca="1">+IF(A87=WORLDCUP!$BI$112,1,0)</f>
        <v>0</v>
      </c>
      <c r="C87" s="9" t="str">
        <f ca="1">+WORLDCUP!BD65</f>
        <v>Saudi Arabia</v>
      </c>
      <c r="D87" s="9" t="str">
        <f ca="1">+WORLDCUP!BD64</f>
        <v>Iran</v>
      </c>
      <c r="E87" s="9" t="str">
        <f ca="1">+WORLDCUP!BD59</f>
        <v>Qatar</v>
      </c>
      <c r="F87" s="9" t="str">
        <f ca="1">+WORLDCUP!BD60</f>
        <v>Haiti</v>
      </c>
      <c r="G87" s="9" t="str">
        <f ca="1">+WORLDCUP!BD66</f>
        <v>Iraq</v>
      </c>
      <c r="H87" s="9" t="str">
        <f ca="1">+WORLDCUP!BD63</f>
        <v>Sweden</v>
      </c>
      <c r="I87" s="9" t="str">
        <f ca="1">+WORLDCUP!BD69</f>
        <v>Ghana</v>
      </c>
      <c r="J87" s="9" t="str">
        <f ca="1">+WORLDCUP!BD68</f>
        <v>Uzbekistan</v>
      </c>
      <c r="N87" s="16" t="s">
        <v>1141</v>
      </c>
      <c r="O87" s="16">
        <v>86</v>
      </c>
      <c r="P87" s="16" t="s">
        <v>446</v>
      </c>
      <c r="Q87" s="16" t="s">
        <v>445</v>
      </c>
      <c r="R87" s="16" t="s">
        <v>91</v>
      </c>
      <c r="S87" s="16" t="s">
        <v>92</v>
      </c>
      <c r="T87" s="16" t="s">
        <v>450</v>
      </c>
      <c r="U87" s="16" t="s">
        <v>95</v>
      </c>
      <c r="V87" s="16" t="s">
        <v>453</v>
      </c>
      <c r="W87" s="16" t="s">
        <v>452</v>
      </c>
    </row>
    <row r="88" spans="1:23" x14ac:dyDescent="0.2">
      <c r="A88" s="9" t="s">
        <v>1140</v>
      </c>
      <c r="B88" s="9">
        <f ca="1">+IF(A88=WORLDCUP!$BI$112,1,0)</f>
        <v>0</v>
      </c>
      <c r="C88" s="9" t="str">
        <f ca="1">+WORLDCUP!BD65</f>
        <v>Saudi Arabia</v>
      </c>
      <c r="D88" s="9" t="str">
        <f ca="1">+WORLDCUP!BD64</f>
        <v>Iran</v>
      </c>
      <c r="E88" s="9" t="str">
        <f ca="1">+WORLDCUP!BD59</f>
        <v>Qatar</v>
      </c>
      <c r="F88" s="9" t="str">
        <f ca="1">+WORLDCUP!BD60</f>
        <v>Haiti</v>
      </c>
      <c r="G88" s="9" t="str">
        <f ca="1">+WORLDCUP!BD67</f>
        <v>Austria</v>
      </c>
      <c r="H88" s="9" t="str">
        <f ca="1">+WORLDCUP!BD63</f>
        <v>Sweden</v>
      </c>
      <c r="I88" s="9" t="str">
        <f ca="1">+WORLDCUP!BD69</f>
        <v>Ghana</v>
      </c>
      <c r="J88" s="9" t="str">
        <f ca="1">+WORLDCUP!BD66</f>
        <v>Iraq</v>
      </c>
      <c r="N88" s="16" t="s">
        <v>1140</v>
      </c>
      <c r="O88" s="16">
        <v>87</v>
      </c>
      <c r="P88" s="16" t="s">
        <v>446</v>
      </c>
      <c r="Q88" s="16" t="s">
        <v>445</v>
      </c>
      <c r="R88" s="16" t="s">
        <v>91</v>
      </c>
      <c r="S88" s="16" t="s">
        <v>92</v>
      </c>
      <c r="T88" s="16" t="s">
        <v>451</v>
      </c>
      <c r="U88" s="16" t="s">
        <v>95</v>
      </c>
      <c r="V88" s="16" t="s">
        <v>453</v>
      </c>
      <c r="W88" s="16" t="s">
        <v>450</v>
      </c>
    </row>
    <row r="89" spans="1:23" x14ac:dyDescent="0.2">
      <c r="A89" s="9" t="s">
        <v>1139</v>
      </c>
      <c r="B89" s="9">
        <f ca="1">+IF(A89=WORLDCUP!$BI$112,1,0)</f>
        <v>0</v>
      </c>
      <c r="C89" s="9" t="str">
        <f ca="1">+WORLDCUP!BD65</f>
        <v>Saudi Arabia</v>
      </c>
      <c r="D89" s="9" t="str">
        <f ca="1">+WORLDCUP!BD64</f>
        <v>Iran</v>
      </c>
      <c r="E89" s="9" t="str">
        <f ca="1">+WORLDCUP!BD59</f>
        <v>Qatar</v>
      </c>
      <c r="F89" s="9" t="str">
        <f ca="1">+WORLDCUP!BD60</f>
        <v>Haiti</v>
      </c>
      <c r="G89" s="9" t="str">
        <f ca="1">+WORLDCUP!BD67</f>
        <v>Austria</v>
      </c>
      <c r="H89" s="9" t="str">
        <f ca="1">+WORLDCUP!BD63</f>
        <v>Sweden</v>
      </c>
      <c r="I89" s="9" t="str">
        <f ca="1">+WORLDCUP!BD66</f>
        <v>Iraq</v>
      </c>
      <c r="J89" s="9" t="str">
        <f ca="1">+WORLDCUP!BD68</f>
        <v>Uzbekistan</v>
      </c>
      <c r="N89" s="16" t="s">
        <v>1139</v>
      </c>
      <c r="O89" s="16">
        <v>88</v>
      </c>
      <c r="P89" s="16" t="s">
        <v>446</v>
      </c>
      <c r="Q89" s="16" t="s">
        <v>445</v>
      </c>
      <c r="R89" s="16" t="s">
        <v>91</v>
      </c>
      <c r="S89" s="16" t="s">
        <v>92</v>
      </c>
      <c r="T89" s="16" t="s">
        <v>451</v>
      </c>
      <c r="U89" s="16" t="s">
        <v>95</v>
      </c>
      <c r="V89" s="16" t="s">
        <v>450</v>
      </c>
      <c r="W89" s="16" t="s">
        <v>452</v>
      </c>
    </row>
    <row r="90" spans="1:23" x14ac:dyDescent="0.2">
      <c r="A90" s="9" t="s">
        <v>1138</v>
      </c>
      <c r="B90" s="9">
        <f ca="1">+IF(A90=WORLDCUP!$BI$112,1,0)</f>
        <v>0</v>
      </c>
      <c r="C90" s="9" t="str">
        <f ca="1">+WORLDCUP!BD62</f>
        <v>Ivory Coast</v>
      </c>
      <c r="D90" s="9" t="str">
        <f ca="1">+WORLDCUP!BD67</f>
        <v>Austria</v>
      </c>
      <c r="E90" s="9" t="str">
        <f ca="1">+WORLDCUP!BD59</f>
        <v>Qatar</v>
      </c>
      <c r="F90" s="9" t="str">
        <f ca="1">+WORLDCUP!BD60</f>
        <v>Haiti</v>
      </c>
      <c r="G90" s="9" t="str">
        <f ca="1">+WORLDCUP!BD66</f>
        <v>Iraq</v>
      </c>
      <c r="H90" s="9" t="str">
        <f ca="1">+WORLDCUP!BD65</f>
        <v>Saudi Arabia</v>
      </c>
      <c r="I90" s="9" t="str">
        <f ca="1">+WORLDCUP!BD69</f>
        <v>Ghana</v>
      </c>
      <c r="J90" s="9" t="str">
        <f ca="1">+WORLDCUP!BD68</f>
        <v>Uzbekistan</v>
      </c>
      <c r="N90" s="16" t="s">
        <v>1138</v>
      </c>
      <c r="O90" s="16">
        <v>89</v>
      </c>
      <c r="P90" s="16" t="s">
        <v>94</v>
      </c>
      <c r="Q90" s="16" t="s">
        <v>451</v>
      </c>
      <c r="R90" s="16" t="s">
        <v>91</v>
      </c>
      <c r="S90" s="16" t="s">
        <v>92</v>
      </c>
      <c r="T90" s="16" t="s">
        <v>450</v>
      </c>
      <c r="U90" s="16" t="s">
        <v>446</v>
      </c>
      <c r="V90" s="16" t="s">
        <v>453</v>
      </c>
      <c r="W90" s="16" t="s">
        <v>452</v>
      </c>
    </row>
    <row r="91" spans="1:23" x14ac:dyDescent="0.2">
      <c r="A91" s="9" t="s">
        <v>1137</v>
      </c>
      <c r="B91" s="9">
        <f ca="1">+IF(A91=WORLDCUP!$BI$112,1,0)</f>
        <v>0</v>
      </c>
      <c r="C91" s="9" t="str">
        <f ca="1">+WORLDCUP!BD62</f>
        <v>Ivory Coast</v>
      </c>
      <c r="D91" s="9" t="str">
        <f ca="1">+WORLDCUP!BD67</f>
        <v>Austria</v>
      </c>
      <c r="E91" s="9" t="str">
        <f ca="1">+WORLDCUP!BD59</f>
        <v>Qatar</v>
      </c>
      <c r="F91" s="9" t="str">
        <f ca="1">+WORLDCUP!BD60</f>
        <v>Haiti</v>
      </c>
      <c r="G91" s="9" t="str">
        <f ca="1">+WORLDCUP!BD66</f>
        <v>Iraq</v>
      </c>
      <c r="H91" s="9" t="str">
        <f ca="1">+WORLDCUP!BD64</f>
        <v>Iran</v>
      </c>
      <c r="I91" s="9" t="str">
        <f ca="1">+WORLDCUP!BD69</f>
        <v>Ghana</v>
      </c>
      <c r="J91" s="9" t="str">
        <f ca="1">+WORLDCUP!BD68</f>
        <v>Uzbekistan</v>
      </c>
      <c r="N91" s="16" t="s">
        <v>1137</v>
      </c>
      <c r="O91" s="16">
        <v>90</v>
      </c>
      <c r="P91" s="16" t="s">
        <v>94</v>
      </c>
      <c r="Q91" s="16" t="s">
        <v>451</v>
      </c>
      <c r="R91" s="16" t="s">
        <v>91</v>
      </c>
      <c r="S91" s="16" t="s">
        <v>92</v>
      </c>
      <c r="T91" s="16" t="s">
        <v>450</v>
      </c>
      <c r="U91" s="16" t="s">
        <v>445</v>
      </c>
      <c r="V91" s="16" t="s">
        <v>453</v>
      </c>
      <c r="W91" s="16" t="s">
        <v>452</v>
      </c>
    </row>
    <row r="92" spans="1:23" x14ac:dyDescent="0.2">
      <c r="A92" s="9" t="s">
        <v>1136</v>
      </c>
      <c r="B92" s="9">
        <f ca="1">+IF(A92=WORLDCUP!$BI$112,1,0)</f>
        <v>0</v>
      </c>
      <c r="C92" s="9" t="str">
        <f ca="1">+WORLDCUP!BD62</f>
        <v>Ivory Coast</v>
      </c>
      <c r="D92" s="9" t="str">
        <f ca="1">+WORLDCUP!BD67</f>
        <v>Austria</v>
      </c>
      <c r="E92" s="9" t="str">
        <f ca="1">+WORLDCUP!BD59</f>
        <v>Qatar</v>
      </c>
      <c r="F92" s="9" t="str">
        <f ca="1">+WORLDCUP!BD60</f>
        <v>Haiti</v>
      </c>
      <c r="G92" s="9" t="str">
        <f ca="1">+WORLDCUP!BD65</f>
        <v>Saudi Arabia</v>
      </c>
      <c r="H92" s="9" t="str">
        <f ca="1">+WORLDCUP!BD64</f>
        <v>Iran</v>
      </c>
      <c r="I92" s="9" t="str">
        <f ca="1">+WORLDCUP!BD69</f>
        <v>Ghana</v>
      </c>
      <c r="J92" s="9" t="str">
        <f ca="1">+WORLDCUP!BD68</f>
        <v>Uzbekistan</v>
      </c>
      <c r="N92" s="16" t="s">
        <v>1136</v>
      </c>
      <c r="O92" s="16">
        <v>91</v>
      </c>
      <c r="P92" s="16" t="s">
        <v>94</v>
      </c>
      <c r="Q92" s="16" t="s">
        <v>451</v>
      </c>
      <c r="R92" s="16" t="s">
        <v>91</v>
      </c>
      <c r="S92" s="16" t="s">
        <v>92</v>
      </c>
      <c r="T92" s="16" t="s">
        <v>446</v>
      </c>
      <c r="U92" s="16" t="s">
        <v>445</v>
      </c>
      <c r="V92" s="16" t="s">
        <v>453</v>
      </c>
      <c r="W92" s="16" t="s">
        <v>452</v>
      </c>
    </row>
    <row r="93" spans="1:23" x14ac:dyDescent="0.2">
      <c r="A93" s="9" t="s">
        <v>1135</v>
      </c>
      <c r="B93" s="9">
        <f ca="1">+IF(A93=WORLDCUP!$BI$112,1,0)</f>
        <v>0</v>
      </c>
      <c r="C93" s="9" t="str">
        <f ca="1">+WORLDCUP!BD62</f>
        <v>Ivory Coast</v>
      </c>
      <c r="D93" s="9" t="str">
        <f ca="1">+WORLDCUP!BD64</f>
        <v>Iran</v>
      </c>
      <c r="E93" s="9" t="str">
        <f ca="1">+WORLDCUP!BD59</f>
        <v>Qatar</v>
      </c>
      <c r="F93" s="9" t="str">
        <f ca="1">+WORLDCUP!BD60</f>
        <v>Haiti</v>
      </c>
      <c r="G93" s="9" t="str">
        <f ca="1">+WORLDCUP!BD66</f>
        <v>Iraq</v>
      </c>
      <c r="H93" s="9" t="str">
        <f ca="1">+WORLDCUP!BD65</f>
        <v>Saudi Arabia</v>
      </c>
      <c r="I93" s="9" t="str">
        <f ca="1">+WORLDCUP!BD69</f>
        <v>Ghana</v>
      </c>
      <c r="J93" s="9" t="str">
        <f ca="1">+WORLDCUP!BD68</f>
        <v>Uzbekistan</v>
      </c>
      <c r="N93" s="16" t="s">
        <v>1135</v>
      </c>
      <c r="O93" s="16">
        <v>92</v>
      </c>
      <c r="P93" s="16" t="s">
        <v>94</v>
      </c>
      <c r="Q93" s="16" t="s">
        <v>445</v>
      </c>
      <c r="R93" s="16" t="s">
        <v>91</v>
      </c>
      <c r="S93" s="16" t="s">
        <v>92</v>
      </c>
      <c r="T93" s="16" t="s">
        <v>450</v>
      </c>
      <c r="U93" s="16" t="s">
        <v>446</v>
      </c>
      <c r="V93" s="16" t="s">
        <v>453</v>
      </c>
      <c r="W93" s="16" t="s">
        <v>452</v>
      </c>
    </row>
    <row r="94" spans="1:23" x14ac:dyDescent="0.2">
      <c r="A94" s="9" t="s">
        <v>1134</v>
      </c>
      <c r="B94" s="9">
        <f ca="1">+IF(A94=WORLDCUP!$BI$112,1,0)</f>
        <v>0</v>
      </c>
      <c r="C94" s="9" t="str">
        <f ca="1">+WORLDCUP!BD62</f>
        <v>Ivory Coast</v>
      </c>
      <c r="D94" s="9" t="str">
        <f ca="1">+WORLDCUP!BD67</f>
        <v>Austria</v>
      </c>
      <c r="E94" s="9" t="str">
        <f ca="1">+WORLDCUP!BD59</f>
        <v>Qatar</v>
      </c>
      <c r="F94" s="9" t="str">
        <f ca="1">+WORLDCUP!BD60</f>
        <v>Haiti</v>
      </c>
      <c r="G94" s="9" t="str">
        <f ca="1">+WORLDCUP!BD65</f>
        <v>Saudi Arabia</v>
      </c>
      <c r="H94" s="9" t="str">
        <f ca="1">+WORLDCUP!BD64</f>
        <v>Iran</v>
      </c>
      <c r="I94" s="9" t="str">
        <f ca="1">+WORLDCUP!BD69</f>
        <v>Ghana</v>
      </c>
      <c r="J94" s="9" t="str">
        <f ca="1">+WORLDCUP!BD66</f>
        <v>Iraq</v>
      </c>
      <c r="N94" s="16" t="s">
        <v>1134</v>
      </c>
      <c r="O94" s="16">
        <v>93</v>
      </c>
      <c r="P94" s="16" t="s">
        <v>94</v>
      </c>
      <c r="Q94" s="16" t="s">
        <v>451</v>
      </c>
      <c r="R94" s="16" t="s">
        <v>91</v>
      </c>
      <c r="S94" s="16" t="s">
        <v>92</v>
      </c>
      <c r="T94" s="16" t="s">
        <v>446</v>
      </c>
      <c r="U94" s="16" t="s">
        <v>445</v>
      </c>
      <c r="V94" s="16" t="s">
        <v>453</v>
      </c>
      <c r="W94" s="16" t="s">
        <v>450</v>
      </c>
    </row>
    <row r="95" spans="1:23" x14ac:dyDescent="0.2">
      <c r="A95" s="9" t="s">
        <v>1133</v>
      </c>
      <c r="B95" s="9">
        <f ca="1">+IF(A95=WORLDCUP!$BI$112,1,0)</f>
        <v>0</v>
      </c>
      <c r="C95" s="9" t="str">
        <f ca="1">+WORLDCUP!BD62</f>
        <v>Ivory Coast</v>
      </c>
      <c r="D95" s="9" t="str">
        <f ca="1">+WORLDCUP!BD67</f>
        <v>Austria</v>
      </c>
      <c r="E95" s="9" t="str">
        <f ca="1">+WORLDCUP!BD59</f>
        <v>Qatar</v>
      </c>
      <c r="F95" s="9" t="str">
        <f ca="1">+WORLDCUP!BD60</f>
        <v>Haiti</v>
      </c>
      <c r="G95" s="9" t="str">
        <f ca="1">+WORLDCUP!BD65</f>
        <v>Saudi Arabia</v>
      </c>
      <c r="H95" s="9" t="str">
        <f ca="1">+WORLDCUP!BD64</f>
        <v>Iran</v>
      </c>
      <c r="I95" s="9" t="str">
        <f ca="1">+WORLDCUP!BD66</f>
        <v>Iraq</v>
      </c>
      <c r="J95" s="9" t="str">
        <f ca="1">+WORLDCUP!BD68</f>
        <v>Uzbekistan</v>
      </c>
      <c r="N95" s="16" t="s">
        <v>1133</v>
      </c>
      <c r="O95" s="16">
        <v>94</v>
      </c>
      <c r="P95" s="16" t="s">
        <v>94</v>
      </c>
      <c r="Q95" s="16" t="s">
        <v>451</v>
      </c>
      <c r="R95" s="16" t="s">
        <v>91</v>
      </c>
      <c r="S95" s="16" t="s">
        <v>92</v>
      </c>
      <c r="T95" s="16" t="s">
        <v>446</v>
      </c>
      <c r="U95" s="16" t="s">
        <v>445</v>
      </c>
      <c r="V95" s="16" t="s">
        <v>450</v>
      </c>
      <c r="W95" s="16" t="s">
        <v>452</v>
      </c>
    </row>
    <row r="96" spans="1:23" x14ac:dyDescent="0.2">
      <c r="A96" s="9" t="s">
        <v>1132</v>
      </c>
      <c r="B96" s="9">
        <f ca="1">+IF(A96=WORLDCUP!$BI$112,1,0)</f>
        <v>0</v>
      </c>
      <c r="C96" s="9" t="str">
        <f ca="1">+WORLDCUP!BD62</f>
        <v>Ivory Coast</v>
      </c>
      <c r="D96" s="9" t="str">
        <f ca="1">+WORLDCUP!BD67</f>
        <v>Austria</v>
      </c>
      <c r="E96" s="9" t="str">
        <f ca="1">+WORLDCUP!BD59</f>
        <v>Qatar</v>
      </c>
      <c r="F96" s="9" t="str">
        <f ca="1">+WORLDCUP!BD60</f>
        <v>Haiti</v>
      </c>
      <c r="G96" s="9" t="str">
        <f ca="1">+WORLDCUP!BD66</f>
        <v>Iraq</v>
      </c>
      <c r="H96" s="9" t="str">
        <f ca="1">+WORLDCUP!BD63</f>
        <v>Sweden</v>
      </c>
      <c r="I96" s="9" t="str">
        <f ca="1">+WORLDCUP!BD69</f>
        <v>Ghana</v>
      </c>
      <c r="J96" s="9" t="str">
        <f ca="1">+WORLDCUP!BD68</f>
        <v>Uzbekistan</v>
      </c>
      <c r="N96" s="16" t="s">
        <v>1132</v>
      </c>
      <c r="O96" s="16">
        <v>95</v>
      </c>
      <c r="P96" s="16" t="s">
        <v>94</v>
      </c>
      <c r="Q96" s="16" t="s">
        <v>451</v>
      </c>
      <c r="R96" s="16" t="s">
        <v>91</v>
      </c>
      <c r="S96" s="16" t="s">
        <v>92</v>
      </c>
      <c r="T96" s="16" t="s">
        <v>450</v>
      </c>
      <c r="U96" s="16" t="s">
        <v>95</v>
      </c>
      <c r="V96" s="16" t="s">
        <v>453</v>
      </c>
      <c r="W96" s="16" t="s">
        <v>452</v>
      </c>
    </row>
    <row r="97" spans="1:23" x14ac:dyDescent="0.2">
      <c r="A97" s="9" t="s">
        <v>1131</v>
      </c>
      <c r="B97" s="9">
        <f ca="1">+IF(A97=WORLDCUP!$BI$112,1,0)</f>
        <v>0</v>
      </c>
      <c r="C97" s="9" t="str">
        <f ca="1">+WORLDCUP!BD62</f>
        <v>Ivory Coast</v>
      </c>
      <c r="D97" s="9" t="str">
        <f ca="1">+WORLDCUP!BD67</f>
        <v>Austria</v>
      </c>
      <c r="E97" s="9" t="str">
        <f ca="1">+WORLDCUP!BD59</f>
        <v>Qatar</v>
      </c>
      <c r="F97" s="9" t="str">
        <f ca="1">+WORLDCUP!BD60</f>
        <v>Haiti</v>
      </c>
      <c r="G97" s="9" t="str">
        <f ca="1">+WORLDCUP!BD65</f>
        <v>Saudi Arabia</v>
      </c>
      <c r="H97" s="9" t="str">
        <f ca="1">+WORLDCUP!BD63</f>
        <v>Sweden</v>
      </c>
      <c r="I97" s="9" t="str">
        <f ca="1">+WORLDCUP!BD69</f>
        <v>Ghana</v>
      </c>
      <c r="J97" s="9" t="str">
        <f ca="1">+WORLDCUP!BD68</f>
        <v>Uzbekistan</v>
      </c>
      <c r="N97" s="16" t="s">
        <v>1131</v>
      </c>
      <c r="O97" s="16">
        <v>96</v>
      </c>
      <c r="P97" s="16" t="s">
        <v>94</v>
      </c>
      <c r="Q97" s="16" t="s">
        <v>451</v>
      </c>
      <c r="R97" s="16" t="s">
        <v>91</v>
      </c>
      <c r="S97" s="16" t="s">
        <v>92</v>
      </c>
      <c r="T97" s="16" t="s">
        <v>446</v>
      </c>
      <c r="U97" s="16" t="s">
        <v>95</v>
      </c>
      <c r="V97" s="16" t="s">
        <v>453</v>
      </c>
      <c r="W97" s="16" t="s">
        <v>452</v>
      </c>
    </row>
    <row r="98" spans="1:23" x14ac:dyDescent="0.2">
      <c r="A98" s="9" t="s">
        <v>1130</v>
      </c>
      <c r="B98" s="9">
        <f ca="1">+IF(A98=WORLDCUP!$BI$112,1,0)</f>
        <v>0</v>
      </c>
      <c r="C98" s="9" t="str">
        <f ca="1">+WORLDCUP!BD62</f>
        <v>Ivory Coast</v>
      </c>
      <c r="D98" s="9" t="str">
        <f ca="1">+WORLDCUP!BD66</f>
        <v>Iraq</v>
      </c>
      <c r="E98" s="9" t="str">
        <f ca="1">+WORLDCUP!BD59</f>
        <v>Qatar</v>
      </c>
      <c r="F98" s="9" t="str">
        <f ca="1">+WORLDCUP!BD60</f>
        <v>Haiti</v>
      </c>
      <c r="G98" s="9" t="str">
        <f ca="1">+WORLDCUP!BD65</f>
        <v>Saudi Arabia</v>
      </c>
      <c r="H98" s="9" t="str">
        <f ca="1">+WORLDCUP!BD63</f>
        <v>Sweden</v>
      </c>
      <c r="I98" s="9" t="str">
        <f ca="1">+WORLDCUP!BD69</f>
        <v>Ghana</v>
      </c>
      <c r="J98" s="9" t="str">
        <f ca="1">+WORLDCUP!BD68</f>
        <v>Uzbekistan</v>
      </c>
      <c r="N98" s="16" t="s">
        <v>1130</v>
      </c>
      <c r="O98" s="16">
        <v>97</v>
      </c>
      <c r="P98" s="16" t="s">
        <v>94</v>
      </c>
      <c r="Q98" s="16" t="s">
        <v>450</v>
      </c>
      <c r="R98" s="16" t="s">
        <v>91</v>
      </c>
      <c r="S98" s="16" t="s">
        <v>92</v>
      </c>
      <c r="T98" s="16" t="s">
        <v>446</v>
      </c>
      <c r="U98" s="16" t="s">
        <v>95</v>
      </c>
      <c r="V98" s="16" t="s">
        <v>453</v>
      </c>
      <c r="W98" s="16" t="s">
        <v>452</v>
      </c>
    </row>
    <row r="99" spans="1:23" x14ac:dyDescent="0.2">
      <c r="A99" s="9" t="s">
        <v>1129</v>
      </c>
      <c r="B99" s="9">
        <f ca="1">+IF(A99=WORLDCUP!$BI$112,1,0)</f>
        <v>0</v>
      </c>
      <c r="C99" s="9" t="str">
        <f ca="1">+WORLDCUP!BD62</f>
        <v>Ivory Coast</v>
      </c>
      <c r="D99" s="9" t="str">
        <f ca="1">+WORLDCUP!BD67</f>
        <v>Austria</v>
      </c>
      <c r="E99" s="9" t="str">
        <f ca="1">+WORLDCUP!BD59</f>
        <v>Qatar</v>
      </c>
      <c r="F99" s="9" t="str">
        <f ca="1">+WORLDCUP!BD60</f>
        <v>Haiti</v>
      </c>
      <c r="G99" s="9" t="str">
        <f ca="1">+WORLDCUP!BD65</f>
        <v>Saudi Arabia</v>
      </c>
      <c r="H99" s="9" t="str">
        <f ca="1">+WORLDCUP!BD63</f>
        <v>Sweden</v>
      </c>
      <c r="I99" s="9" t="str">
        <f ca="1">+WORLDCUP!BD69</f>
        <v>Ghana</v>
      </c>
      <c r="J99" s="9" t="str">
        <f ca="1">+WORLDCUP!BD66</f>
        <v>Iraq</v>
      </c>
      <c r="N99" s="16" t="s">
        <v>1129</v>
      </c>
      <c r="O99" s="16">
        <v>98</v>
      </c>
      <c r="P99" s="16" t="s">
        <v>94</v>
      </c>
      <c r="Q99" s="16" t="s">
        <v>451</v>
      </c>
      <c r="R99" s="16" t="s">
        <v>91</v>
      </c>
      <c r="S99" s="16" t="s">
        <v>92</v>
      </c>
      <c r="T99" s="16" t="s">
        <v>446</v>
      </c>
      <c r="U99" s="16" t="s">
        <v>95</v>
      </c>
      <c r="V99" s="16" t="s">
        <v>453</v>
      </c>
      <c r="W99" s="16" t="s">
        <v>450</v>
      </c>
    </row>
    <row r="100" spans="1:23" x14ac:dyDescent="0.2">
      <c r="A100" s="9" t="s">
        <v>1128</v>
      </c>
      <c r="B100" s="9">
        <f ca="1">+IF(A100=WORLDCUP!$BI$112,1,0)</f>
        <v>0</v>
      </c>
      <c r="C100" s="9" t="str">
        <f ca="1">+WORLDCUP!BD62</f>
        <v>Ivory Coast</v>
      </c>
      <c r="D100" s="9" t="str">
        <f ca="1">+WORLDCUP!BD67</f>
        <v>Austria</v>
      </c>
      <c r="E100" s="9" t="str">
        <f ca="1">+WORLDCUP!BD59</f>
        <v>Qatar</v>
      </c>
      <c r="F100" s="9" t="str">
        <f ca="1">+WORLDCUP!BD60</f>
        <v>Haiti</v>
      </c>
      <c r="G100" s="9" t="str">
        <f ca="1">+WORLDCUP!BD65</f>
        <v>Saudi Arabia</v>
      </c>
      <c r="H100" s="9" t="str">
        <f ca="1">+WORLDCUP!BD63</f>
        <v>Sweden</v>
      </c>
      <c r="I100" s="9" t="str">
        <f ca="1">+WORLDCUP!BD66</f>
        <v>Iraq</v>
      </c>
      <c r="J100" s="9" t="str">
        <f ca="1">+WORLDCUP!BD68</f>
        <v>Uzbekistan</v>
      </c>
      <c r="N100" s="16" t="s">
        <v>1128</v>
      </c>
      <c r="O100" s="16">
        <v>99</v>
      </c>
      <c r="P100" s="16" t="s">
        <v>94</v>
      </c>
      <c r="Q100" s="16" t="s">
        <v>451</v>
      </c>
      <c r="R100" s="16" t="s">
        <v>91</v>
      </c>
      <c r="S100" s="16" t="s">
        <v>92</v>
      </c>
      <c r="T100" s="16" t="s">
        <v>446</v>
      </c>
      <c r="U100" s="16" t="s">
        <v>95</v>
      </c>
      <c r="V100" s="16" t="s">
        <v>450</v>
      </c>
      <c r="W100" s="16" t="s">
        <v>452</v>
      </c>
    </row>
    <row r="101" spans="1:23" x14ac:dyDescent="0.2">
      <c r="A101" s="9" t="s">
        <v>1127</v>
      </c>
      <c r="B101" s="9">
        <f ca="1">+IF(A101=WORLDCUP!$BI$112,1,0)</f>
        <v>0</v>
      </c>
      <c r="C101" s="9" t="str">
        <f ca="1">+WORLDCUP!BD62</f>
        <v>Ivory Coast</v>
      </c>
      <c r="D101" s="9" t="str">
        <f ca="1">+WORLDCUP!BD64</f>
        <v>Iran</v>
      </c>
      <c r="E101" s="9" t="str">
        <f ca="1">+WORLDCUP!BD59</f>
        <v>Qatar</v>
      </c>
      <c r="F101" s="9" t="str">
        <f ca="1">+WORLDCUP!BD60</f>
        <v>Haiti</v>
      </c>
      <c r="G101" s="9" t="str">
        <f ca="1">+WORLDCUP!BD67</f>
        <v>Austria</v>
      </c>
      <c r="H101" s="9" t="str">
        <f ca="1">+WORLDCUP!BD63</f>
        <v>Sweden</v>
      </c>
      <c r="I101" s="9" t="str">
        <f ca="1">+WORLDCUP!BD69</f>
        <v>Ghana</v>
      </c>
      <c r="J101" s="9" t="str">
        <f ca="1">+WORLDCUP!BD68</f>
        <v>Uzbekistan</v>
      </c>
      <c r="N101" s="16" t="s">
        <v>1127</v>
      </c>
      <c r="O101" s="16">
        <v>100</v>
      </c>
      <c r="P101" s="16" t="s">
        <v>94</v>
      </c>
      <c r="Q101" s="16" t="s">
        <v>445</v>
      </c>
      <c r="R101" s="16" t="s">
        <v>91</v>
      </c>
      <c r="S101" s="16" t="s">
        <v>92</v>
      </c>
      <c r="T101" s="16" t="s">
        <v>451</v>
      </c>
      <c r="U101" s="16" t="s">
        <v>95</v>
      </c>
      <c r="V101" s="16" t="s">
        <v>453</v>
      </c>
      <c r="W101" s="16" t="s">
        <v>452</v>
      </c>
    </row>
    <row r="102" spans="1:23" x14ac:dyDescent="0.2">
      <c r="A102" s="9" t="s">
        <v>1126</v>
      </c>
      <c r="B102" s="9">
        <f ca="1">+IF(A102=WORLDCUP!$BI$112,1,0)</f>
        <v>0</v>
      </c>
      <c r="C102" s="9" t="str">
        <f ca="1">+WORLDCUP!BD62</f>
        <v>Ivory Coast</v>
      </c>
      <c r="D102" s="9" t="str">
        <f ca="1">+WORLDCUP!BD64</f>
        <v>Iran</v>
      </c>
      <c r="E102" s="9" t="str">
        <f ca="1">+WORLDCUP!BD59</f>
        <v>Qatar</v>
      </c>
      <c r="F102" s="9" t="str">
        <f ca="1">+WORLDCUP!BD60</f>
        <v>Haiti</v>
      </c>
      <c r="G102" s="9" t="str">
        <f ca="1">+WORLDCUP!BD66</f>
        <v>Iraq</v>
      </c>
      <c r="H102" s="9" t="str">
        <f ca="1">+WORLDCUP!BD63</f>
        <v>Sweden</v>
      </c>
      <c r="I102" s="9" t="str">
        <f ca="1">+WORLDCUP!BD69</f>
        <v>Ghana</v>
      </c>
      <c r="J102" s="9" t="str">
        <f ca="1">+WORLDCUP!BD68</f>
        <v>Uzbekistan</v>
      </c>
      <c r="N102" s="16" t="s">
        <v>1126</v>
      </c>
      <c r="O102" s="16">
        <v>101</v>
      </c>
      <c r="P102" s="16" t="s">
        <v>94</v>
      </c>
      <c r="Q102" s="16" t="s">
        <v>445</v>
      </c>
      <c r="R102" s="16" t="s">
        <v>91</v>
      </c>
      <c r="S102" s="16" t="s">
        <v>92</v>
      </c>
      <c r="T102" s="16" t="s">
        <v>450</v>
      </c>
      <c r="U102" s="16" t="s">
        <v>95</v>
      </c>
      <c r="V102" s="16" t="s">
        <v>453</v>
      </c>
      <c r="W102" s="16" t="s">
        <v>452</v>
      </c>
    </row>
    <row r="103" spans="1:23" x14ac:dyDescent="0.2">
      <c r="A103" s="9" t="s">
        <v>1125</v>
      </c>
      <c r="B103" s="9">
        <f ca="1">+IF(A103=WORLDCUP!$BI$112,1,0)</f>
        <v>0</v>
      </c>
      <c r="C103" s="9" t="str">
        <f ca="1">+WORLDCUP!BD62</f>
        <v>Ivory Coast</v>
      </c>
      <c r="D103" s="9" t="str">
        <f ca="1">+WORLDCUP!BD64</f>
        <v>Iran</v>
      </c>
      <c r="E103" s="9" t="str">
        <f ca="1">+WORLDCUP!BD59</f>
        <v>Qatar</v>
      </c>
      <c r="F103" s="9" t="str">
        <f ca="1">+WORLDCUP!BD60</f>
        <v>Haiti</v>
      </c>
      <c r="G103" s="9" t="str">
        <f ca="1">+WORLDCUP!BD67</f>
        <v>Austria</v>
      </c>
      <c r="H103" s="9" t="str">
        <f ca="1">+WORLDCUP!BD63</f>
        <v>Sweden</v>
      </c>
      <c r="I103" s="9" t="str">
        <f ca="1">+WORLDCUP!BD69</f>
        <v>Ghana</v>
      </c>
      <c r="J103" s="9" t="str">
        <f ca="1">+WORLDCUP!BD66</f>
        <v>Iraq</v>
      </c>
      <c r="N103" s="16" t="s">
        <v>1125</v>
      </c>
      <c r="O103" s="16">
        <v>102</v>
      </c>
      <c r="P103" s="16" t="s">
        <v>94</v>
      </c>
      <c r="Q103" s="16" t="s">
        <v>445</v>
      </c>
      <c r="R103" s="16" t="s">
        <v>91</v>
      </c>
      <c r="S103" s="16" t="s">
        <v>92</v>
      </c>
      <c r="T103" s="16" t="s">
        <v>451</v>
      </c>
      <c r="U103" s="16" t="s">
        <v>95</v>
      </c>
      <c r="V103" s="16" t="s">
        <v>453</v>
      </c>
      <c r="W103" s="16" t="s">
        <v>450</v>
      </c>
    </row>
    <row r="104" spans="1:23" x14ac:dyDescent="0.2">
      <c r="A104" s="9" t="s">
        <v>1124</v>
      </c>
      <c r="B104" s="9">
        <f ca="1">+IF(A104=WORLDCUP!$BI$112,1,0)</f>
        <v>0</v>
      </c>
      <c r="C104" s="9" t="str">
        <f ca="1">+WORLDCUP!BD62</f>
        <v>Ivory Coast</v>
      </c>
      <c r="D104" s="9" t="str">
        <f ca="1">+WORLDCUP!BD64</f>
        <v>Iran</v>
      </c>
      <c r="E104" s="9" t="str">
        <f ca="1">+WORLDCUP!BD59</f>
        <v>Qatar</v>
      </c>
      <c r="F104" s="9" t="str">
        <f ca="1">+WORLDCUP!BD60</f>
        <v>Haiti</v>
      </c>
      <c r="G104" s="9" t="str">
        <f ca="1">+WORLDCUP!BD67</f>
        <v>Austria</v>
      </c>
      <c r="H104" s="9" t="str">
        <f ca="1">+WORLDCUP!BD63</f>
        <v>Sweden</v>
      </c>
      <c r="I104" s="9" t="str">
        <f ca="1">+WORLDCUP!BD66</f>
        <v>Iraq</v>
      </c>
      <c r="J104" s="9" t="str">
        <f ca="1">+WORLDCUP!BD68</f>
        <v>Uzbekistan</v>
      </c>
      <c r="N104" s="16" t="s">
        <v>1124</v>
      </c>
      <c r="O104" s="16">
        <v>103</v>
      </c>
      <c r="P104" s="16" t="s">
        <v>94</v>
      </c>
      <c r="Q104" s="16" t="s">
        <v>445</v>
      </c>
      <c r="R104" s="16" t="s">
        <v>91</v>
      </c>
      <c r="S104" s="16" t="s">
        <v>92</v>
      </c>
      <c r="T104" s="16" t="s">
        <v>451</v>
      </c>
      <c r="U104" s="16" t="s">
        <v>95</v>
      </c>
      <c r="V104" s="16" t="s">
        <v>450</v>
      </c>
      <c r="W104" s="16" t="s">
        <v>452</v>
      </c>
    </row>
    <row r="105" spans="1:23" x14ac:dyDescent="0.2">
      <c r="A105" s="9" t="s">
        <v>1123</v>
      </c>
      <c r="B105" s="9">
        <f ca="1">+IF(A105=WORLDCUP!$BI$112,1,0)</f>
        <v>0</v>
      </c>
      <c r="C105" s="9" t="str">
        <f ca="1">+WORLDCUP!BD62</f>
        <v>Ivory Coast</v>
      </c>
      <c r="D105" s="9" t="str">
        <f ca="1">+WORLDCUP!BD64</f>
        <v>Iran</v>
      </c>
      <c r="E105" s="9" t="str">
        <f ca="1">+WORLDCUP!BD59</f>
        <v>Qatar</v>
      </c>
      <c r="F105" s="9" t="str">
        <f ca="1">+WORLDCUP!BD60</f>
        <v>Haiti</v>
      </c>
      <c r="G105" s="9" t="str">
        <f ca="1">+WORLDCUP!BD65</f>
        <v>Saudi Arabia</v>
      </c>
      <c r="H105" s="9" t="str">
        <f ca="1">+WORLDCUP!BD63</f>
        <v>Sweden</v>
      </c>
      <c r="I105" s="9" t="str">
        <f ca="1">+WORLDCUP!BD69</f>
        <v>Ghana</v>
      </c>
      <c r="J105" s="9" t="str">
        <f ca="1">+WORLDCUP!BD68</f>
        <v>Uzbekistan</v>
      </c>
      <c r="N105" s="16" t="s">
        <v>1123</v>
      </c>
      <c r="O105" s="16">
        <v>104</v>
      </c>
      <c r="P105" s="16" t="s">
        <v>94</v>
      </c>
      <c r="Q105" s="16" t="s">
        <v>445</v>
      </c>
      <c r="R105" s="16" t="s">
        <v>91</v>
      </c>
      <c r="S105" s="16" t="s">
        <v>92</v>
      </c>
      <c r="T105" s="16" t="s">
        <v>446</v>
      </c>
      <c r="U105" s="16" t="s">
        <v>95</v>
      </c>
      <c r="V105" s="16" t="s">
        <v>453</v>
      </c>
      <c r="W105" s="16" t="s">
        <v>452</v>
      </c>
    </row>
    <row r="106" spans="1:23" x14ac:dyDescent="0.2">
      <c r="A106" s="9" t="s">
        <v>1122</v>
      </c>
      <c r="B106" s="9">
        <f ca="1">+IF(A106=WORLDCUP!$BI$112,1,0)</f>
        <v>0</v>
      </c>
      <c r="C106" s="9" t="str">
        <f ca="1">+WORLDCUP!BD65</f>
        <v>Saudi Arabia</v>
      </c>
      <c r="D106" s="9" t="str">
        <f ca="1">+WORLDCUP!BD64</f>
        <v>Iran</v>
      </c>
      <c r="E106" s="9" t="str">
        <f ca="1">+WORLDCUP!BD59</f>
        <v>Qatar</v>
      </c>
      <c r="F106" s="9" t="str">
        <f ca="1">+WORLDCUP!BD60</f>
        <v>Haiti</v>
      </c>
      <c r="G106" s="9" t="str">
        <f ca="1">+WORLDCUP!BD67</f>
        <v>Austria</v>
      </c>
      <c r="H106" s="9" t="str">
        <f ca="1">+WORLDCUP!BD63</f>
        <v>Sweden</v>
      </c>
      <c r="I106" s="9" t="str">
        <f ca="1">+WORLDCUP!BD69</f>
        <v>Ghana</v>
      </c>
      <c r="J106" s="9" t="str">
        <f ca="1">+WORLDCUP!BD62</f>
        <v>Ivory Coast</v>
      </c>
      <c r="N106" s="16" t="s">
        <v>1122</v>
      </c>
      <c r="O106" s="16">
        <v>105</v>
      </c>
      <c r="P106" s="16" t="s">
        <v>446</v>
      </c>
      <c r="Q106" s="16" t="s">
        <v>445</v>
      </c>
      <c r="R106" s="16" t="s">
        <v>91</v>
      </c>
      <c r="S106" s="16" t="s">
        <v>92</v>
      </c>
      <c r="T106" s="16" t="s">
        <v>451</v>
      </c>
      <c r="U106" s="16" t="s">
        <v>95</v>
      </c>
      <c r="V106" s="16" t="s">
        <v>453</v>
      </c>
      <c r="W106" s="16" t="s">
        <v>94</v>
      </c>
    </row>
    <row r="107" spans="1:23" x14ac:dyDescent="0.2">
      <c r="A107" s="9" t="s">
        <v>1121</v>
      </c>
      <c r="B107" s="9">
        <f ca="1">+IF(A107=WORLDCUP!$BI$112,1,0)</f>
        <v>0</v>
      </c>
      <c r="C107" s="9" t="str">
        <f ca="1">+WORLDCUP!BD65</f>
        <v>Saudi Arabia</v>
      </c>
      <c r="D107" s="9" t="str">
        <f ca="1">+WORLDCUP!BD64</f>
        <v>Iran</v>
      </c>
      <c r="E107" s="9" t="str">
        <f ca="1">+WORLDCUP!BD59</f>
        <v>Qatar</v>
      </c>
      <c r="F107" s="9" t="str">
        <f ca="1">+WORLDCUP!BD60</f>
        <v>Haiti</v>
      </c>
      <c r="G107" s="9" t="str">
        <f ca="1">+WORLDCUP!BD67</f>
        <v>Austria</v>
      </c>
      <c r="H107" s="9" t="str">
        <f ca="1">+WORLDCUP!BD63</f>
        <v>Sweden</v>
      </c>
      <c r="I107" s="9" t="str">
        <f ca="1">+WORLDCUP!BD62</f>
        <v>Ivory Coast</v>
      </c>
      <c r="J107" s="9" t="str">
        <f ca="1">+WORLDCUP!BD68</f>
        <v>Uzbekistan</v>
      </c>
      <c r="N107" s="16" t="s">
        <v>1121</v>
      </c>
      <c r="O107" s="16">
        <v>106</v>
      </c>
      <c r="P107" s="16" t="s">
        <v>446</v>
      </c>
      <c r="Q107" s="16" t="s">
        <v>445</v>
      </c>
      <c r="R107" s="16" t="s">
        <v>91</v>
      </c>
      <c r="S107" s="16" t="s">
        <v>92</v>
      </c>
      <c r="T107" s="16" t="s">
        <v>451</v>
      </c>
      <c r="U107" s="16" t="s">
        <v>95</v>
      </c>
      <c r="V107" s="16" t="s">
        <v>94</v>
      </c>
      <c r="W107" s="16" t="s">
        <v>452</v>
      </c>
    </row>
    <row r="108" spans="1:23" x14ac:dyDescent="0.2">
      <c r="A108" s="9" t="s">
        <v>1120</v>
      </c>
      <c r="B108" s="9">
        <f ca="1">+IF(A108=WORLDCUP!$BI$112,1,0)</f>
        <v>0</v>
      </c>
      <c r="C108" s="9" t="str">
        <f ca="1">+WORLDCUP!BD62</f>
        <v>Ivory Coast</v>
      </c>
      <c r="D108" s="9" t="str">
        <f ca="1">+WORLDCUP!BD64</f>
        <v>Iran</v>
      </c>
      <c r="E108" s="9" t="str">
        <f ca="1">+WORLDCUP!BD59</f>
        <v>Qatar</v>
      </c>
      <c r="F108" s="9" t="str">
        <f ca="1">+WORLDCUP!BD60</f>
        <v>Haiti</v>
      </c>
      <c r="G108" s="9" t="str">
        <f ca="1">+WORLDCUP!BD65</f>
        <v>Saudi Arabia</v>
      </c>
      <c r="H108" s="9" t="str">
        <f ca="1">+WORLDCUP!BD63</f>
        <v>Sweden</v>
      </c>
      <c r="I108" s="9" t="str">
        <f ca="1">+WORLDCUP!BD69</f>
        <v>Ghana</v>
      </c>
      <c r="J108" s="9" t="str">
        <f ca="1">+WORLDCUP!BD66</f>
        <v>Iraq</v>
      </c>
      <c r="N108" s="16" t="s">
        <v>1120</v>
      </c>
      <c r="O108" s="16">
        <v>107</v>
      </c>
      <c r="P108" s="16" t="s">
        <v>94</v>
      </c>
      <c r="Q108" s="16" t="s">
        <v>445</v>
      </c>
      <c r="R108" s="16" t="s">
        <v>91</v>
      </c>
      <c r="S108" s="16" t="s">
        <v>92</v>
      </c>
      <c r="T108" s="16" t="s">
        <v>446</v>
      </c>
      <c r="U108" s="16" t="s">
        <v>95</v>
      </c>
      <c r="V108" s="16" t="s">
        <v>453</v>
      </c>
      <c r="W108" s="16" t="s">
        <v>450</v>
      </c>
    </row>
    <row r="109" spans="1:23" x14ac:dyDescent="0.2">
      <c r="A109" s="9" t="s">
        <v>1119</v>
      </c>
      <c r="B109" s="9">
        <f ca="1">+IF(A109=WORLDCUP!$BI$112,1,0)</f>
        <v>0</v>
      </c>
      <c r="C109" s="9" t="str">
        <f ca="1">+WORLDCUP!BD62</f>
        <v>Ivory Coast</v>
      </c>
      <c r="D109" s="9" t="str">
        <f ca="1">+WORLDCUP!BD64</f>
        <v>Iran</v>
      </c>
      <c r="E109" s="9" t="str">
        <f ca="1">+WORLDCUP!BD59</f>
        <v>Qatar</v>
      </c>
      <c r="F109" s="9" t="str">
        <f ca="1">+WORLDCUP!BD60</f>
        <v>Haiti</v>
      </c>
      <c r="G109" s="9" t="str">
        <f ca="1">+WORLDCUP!BD65</f>
        <v>Saudi Arabia</v>
      </c>
      <c r="H109" s="9" t="str">
        <f ca="1">+WORLDCUP!BD63</f>
        <v>Sweden</v>
      </c>
      <c r="I109" s="9" t="str">
        <f ca="1">+WORLDCUP!BD66</f>
        <v>Iraq</v>
      </c>
      <c r="J109" s="9" t="str">
        <f ca="1">+WORLDCUP!BD68</f>
        <v>Uzbekistan</v>
      </c>
      <c r="N109" s="16" t="s">
        <v>1119</v>
      </c>
      <c r="O109" s="16">
        <v>108</v>
      </c>
      <c r="P109" s="16" t="s">
        <v>94</v>
      </c>
      <c r="Q109" s="16" t="s">
        <v>445</v>
      </c>
      <c r="R109" s="16" t="s">
        <v>91</v>
      </c>
      <c r="S109" s="16" t="s">
        <v>92</v>
      </c>
      <c r="T109" s="16" t="s">
        <v>446</v>
      </c>
      <c r="U109" s="16" t="s">
        <v>95</v>
      </c>
      <c r="V109" s="16" t="s">
        <v>450</v>
      </c>
      <c r="W109" s="16" t="s">
        <v>452</v>
      </c>
    </row>
    <row r="110" spans="1:23" x14ac:dyDescent="0.2">
      <c r="A110" s="9" t="s">
        <v>1118</v>
      </c>
      <c r="B110" s="9">
        <f ca="1">+IF(A110=WORLDCUP!$BI$112,1,0)</f>
        <v>0</v>
      </c>
      <c r="C110" s="9" t="str">
        <f ca="1">+WORLDCUP!BD65</f>
        <v>Saudi Arabia</v>
      </c>
      <c r="D110" s="9" t="str">
        <f ca="1">+WORLDCUP!BD64</f>
        <v>Iran</v>
      </c>
      <c r="E110" s="9" t="str">
        <f ca="1">+WORLDCUP!BD59</f>
        <v>Qatar</v>
      </c>
      <c r="F110" s="9" t="str">
        <f ca="1">+WORLDCUP!BD60</f>
        <v>Haiti</v>
      </c>
      <c r="G110" s="9" t="str">
        <f ca="1">+WORLDCUP!BD67</f>
        <v>Austria</v>
      </c>
      <c r="H110" s="9" t="str">
        <f ca="1">+WORLDCUP!BD63</f>
        <v>Sweden</v>
      </c>
      <c r="I110" s="9" t="str">
        <f ca="1">+WORLDCUP!BD62</f>
        <v>Ivory Coast</v>
      </c>
      <c r="J110" s="9" t="str">
        <f ca="1">+WORLDCUP!BD66</f>
        <v>Iraq</v>
      </c>
      <c r="N110" s="16" t="s">
        <v>1118</v>
      </c>
      <c r="O110" s="16">
        <v>109</v>
      </c>
      <c r="P110" s="16" t="s">
        <v>446</v>
      </c>
      <c r="Q110" s="16" t="s">
        <v>445</v>
      </c>
      <c r="R110" s="16" t="s">
        <v>91</v>
      </c>
      <c r="S110" s="16" t="s">
        <v>92</v>
      </c>
      <c r="T110" s="16" t="s">
        <v>451</v>
      </c>
      <c r="U110" s="16" t="s">
        <v>95</v>
      </c>
      <c r="V110" s="16" t="s">
        <v>94</v>
      </c>
      <c r="W110" s="16" t="s">
        <v>450</v>
      </c>
    </row>
    <row r="111" spans="1:23" x14ac:dyDescent="0.2">
      <c r="A111" s="9" t="s">
        <v>1117</v>
      </c>
      <c r="B111" s="9">
        <f ca="1">+IF(A111=WORLDCUP!$BI$112,1,0)</f>
        <v>0</v>
      </c>
      <c r="C111" s="9" t="str">
        <f ca="1">+WORLDCUP!BD65</f>
        <v>Saudi Arabia</v>
      </c>
      <c r="D111" s="9" t="str">
        <f ca="1">+WORLDCUP!BD67</f>
        <v>Austria</v>
      </c>
      <c r="E111" s="9" t="str">
        <f ca="1">+WORLDCUP!BD59</f>
        <v>Qatar</v>
      </c>
      <c r="F111" s="9" t="str">
        <f ca="1">+WORLDCUP!BD60</f>
        <v>Haiti</v>
      </c>
      <c r="G111" s="9" t="str">
        <f ca="1">+WORLDCUP!BD66</f>
        <v>Iraq</v>
      </c>
      <c r="H111" s="9" t="str">
        <f ca="1">+WORLDCUP!BD61</f>
        <v>Australia</v>
      </c>
      <c r="I111" s="9" t="str">
        <f ca="1">+WORLDCUP!BD69</f>
        <v>Ghana</v>
      </c>
      <c r="J111" s="9" t="str">
        <f ca="1">+WORLDCUP!BD68</f>
        <v>Uzbekistan</v>
      </c>
      <c r="N111" s="16" t="s">
        <v>1117</v>
      </c>
      <c r="O111" s="16">
        <v>110</v>
      </c>
      <c r="P111" s="16" t="s">
        <v>446</v>
      </c>
      <c r="Q111" s="16" t="s">
        <v>451</v>
      </c>
      <c r="R111" s="16" t="s">
        <v>91</v>
      </c>
      <c r="S111" s="16" t="s">
        <v>92</v>
      </c>
      <c r="T111" s="16" t="s">
        <v>450</v>
      </c>
      <c r="U111" s="16" t="s">
        <v>93</v>
      </c>
      <c r="V111" s="16" t="s">
        <v>453</v>
      </c>
      <c r="W111" s="16" t="s">
        <v>452</v>
      </c>
    </row>
    <row r="112" spans="1:23" x14ac:dyDescent="0.2">
      <c r="A112" s="9" t="s">
        <v>1116</v>
      </c>
      <c r="B112" s="9">
        <f ca="1">+IF(A112=WORLDCUP!$BI$112,1,0)</f>
        <v>0</v>
      </c>
      <c r="C112" s="9" t="str">
        <f ca="1">+WORLDCUP!BD66</f>
        <v>Iraq</v>
      </c>
      <c r="D112" s="9" t="str">
        <f ca="1">+WORLDCUP!BD64</f>
        <v>Iran</v>
      </c>
      <c r="E112" s="9" t="str">
        <f ca="1">+WORLDCUP!BD59</f>
        <v>Qatar</v>
      </c>
      <c r="F112" s="9" t="str">
        <f ca="1">+WORLDCUP!BD60</f>
        <v>Haiti</v>
      </c>
      <c r="G112" s="9" t="str">
        <f ca="1">+WORLDCUP!BD67</f>
        <v>Austria</v>
      </c>
      <c r="H112" s="9" t="str">
        <f ca="1">+WORLDCUP!BD61</f>
        <v>Australia</v>
      </c>
      <c r="I112" s="9" t="str">
        <f ca="1">+WORLDCUP!BD69</f>
        <v>Ghana</v>
      </c>
      <c r="J112" s="9" t="str">
        <f ca="1">+WORLDCUP!BD68</f>
        <v>Uzbekistan</v>
      </c>
      <c r="N112" s="16" t="s">
        <v>1116</v>
      </c>
      <c r="O112" s="16">
        <v>111</v>
      </c>
      <c r="P112" s="16" t="s">
        <v>450</v>
      </c>
      <c r="Q112" s="16" t="s">
        <v>445</v>
      </c>
      <c r="R112" s="16" t="s">
        <v>91</v>
      </c>
      <c r="S112" s="16" t="s">
        <v>92</v>
      </c>
      <c r="T112" s="16" t="s">
        <v>451</v>
      </c>
      <c r="U112" s="16" t="s">
        <v>93</v>
      </c>
      <c r="V112" s="16" t="s">
        <v>453</v>
      </c>
      <c r="W112" s="16" t="s">
        <v>452</v>
      </c>
    </row>
    <row r="113" spans="1:23" x14ac:dyDescent="0.2">
      <c r="A113" s="9" t="s">
        <v>1115</v>
      </c>
      <c r="B113" s="9">
        <f ca="1">+IF(A113=WORLDCUP!$BI$112,1,0)</f>
        <v>0</v>
      </c>
      <c r="C113" s="9" t="str">
        <f ca="1">+WORLDCUP!BD65</f>
        <v>Saudi Arabia</v>
      </c>
      <c r="D113" s="9" t="str">
        <f ca="1">+WORLDCUP!BD64</f>
        <v>Iran</v>
      </c>
      <c r="E113" s="9" t="str">
        <f ca="1">+WORLDCUP!BD59</f>
        <v>Qatar</v>
      </c>
      <c r="F113" s="9" t="str">
        <f ca="1">+WORLDCUP!BD60</f>
        <v>Haiti</v>
      </c>
      <c r="G113" s="9" t="str">
        <f ca="1">+WORLDCUP!BD67</f>
        <v>Austria</v>
      </c>
      <c r="H113" s="9" t="str">
        <f ca="1">+WORLDCUP!BD61</f>
        <v>Australia</v>
      </c>
      <c r="I113" s="9" t="str">
        <f ca="1">+WORLDCUP!BD69</f>
        <v>Ghana</v>
      </c>
      <c r="J113" s="9" t="str">
        <f ca="1">+WORLDCUP!BD68</f>
        <v>Uzbekistan</v>
      </c>
      <c r="N113" s="16" t="s">
        <v>1115</v>
      </c>
      <c r="O113" s="16">
        <v>112</v>
      </c>
      <c r="P113" s="16" t="s">
        <v>446</v>
      </c>
      <c r="Q113" s="16" t="s">
        <v>445</v>
      </c>
      <c r="R113" s="16" t="s">
        <v>91</v>
      </c>
      <c r="S113" s="16" t="s">
        <v>92</v>
      </c>
      <c r="T113" s="16" t="s">
        <v>451</v>
      </c>
      <c r="U113" s="16" t="s">
        <v>93</v>
      </c>
      <c r="V113" s="16" t="s">
        <v>453</v>
      </c>
      <c r="W113" s="16" t="s">
        <v>452</v>
      </c>
    </row>
    <row r="114" spans="1:23" x14ac:dyDescent="0.2">
      <c r="A114" s="9" t="s">
        <v>1114</v>
      </c>
      <c r="B114" s="9">
        <f ca="1">+IF(A114=WORLDCUP!$BI$112,1,0)</f>
        <v>0</v>
      </c>
      <c r="C114" s="9" t="str">
        <f ca="1">+WORLDCUP!BD65</f>
        <v>Saudi Arabia</v>
      </c>
      <c r="D114" s="9" t="str">
        <f ca="1">+WORLDCUP!BD64</f>
        <v>Iran</v>
      </c>
      <c r="E114" s="9" t="str">
        <f ca="1">+WORLDCUP!BD59</f>
        <v>Qatar</v>
      </c>
      <c r="F114" s="9" t="str">
        <f ca="1">+WORLDCUP!BD60</f>
        <v>Haiti</v>
      </c>
      <c r="G114" s="9" t="str">
        <f ca="1">+WORLDCUP!BD66</f>
        <v>Iraq</v>
      </c>
      <c r="H114" s="9" t="str">
        <f ca="1">+WORLDCUP!BD61</f>
        <v>Australia</v>
      </c>
      <c r="I114" s="9" t="str">
        <f ca="1">+WORLDCUP!BD69</f>
        <v>Ghana</v>
      </c>
      <c r="J114" s="9" t="str">
        <f ca="1">+WORLDCUP!BD68</f>
        <v>Uzbekistan</v>
      </c>
      <c r="N114" s="16" t="s">
        <v>1114</v>
      </c>
      <c r="O114" s="16">
        <v>113</v>
      </c>
      <c r="P114" s="16" t="s">
        <v>446</v>
      </c>
      <c r="Q114" s="16" t="s">
        <v>445</v>
      </c>
      <c r="R114" s="16" t="s">
        <v>91</v>
      </c>
      <c r="S114" s="16" t="s">
        <v>92</v>
      </c>
      <c r="T114" s="16" t="s">
        <v>450</v>
      </c>
      <c r="U114" s="16" t="s">
        <v>93</v>
      </c>
      <c r="V114" s="16" t="s">
        <v>453</v>
      </c>
      <c r="W114" s="16" t="s">
        <v>452</v>
      </c>
    </row>
    <row r="115" spans="1:23" x14ac:dyDescent="0.2">
      <c r="A115" s="9" t="s">
        <v>1113</v>
      </c>
      <c r="B115" s="9">
        <f ca="1">+IF(A115=WORLDCUP!$BI$112,1,0)</f>
        <v>0</v>
      </c>
      <c r="C115" s="9" t="str">
        <f ca="1">+WORLDCUP!BD65</f>
        <v>Saudi Arabia</v>
      </c>
      <c r="D115" s="9" t="str">
        <f ca="1">+WORLDCUP!BD64</f>
        <v>Iran</v>
      </c>
      <c r="E115" s="9" t="str">
        <f ca="1">+WORLDCUP!BD59</f>
        <v>Qatar</v>
      </c>
      <c r="F115" s="9" t="str">
        <f ca="1">+WORLDCUP!BD60</f>
        <v>Haiti</v>
      </c>
      <c r="G115" s="9" t="str">
        <f ca="1">+WORLDCUP!BD67</f>
        <v>Austria</v>
      </c>
      <c r="H115" s="9" t="str">
        <f ca="1">+WORLDCUP!BD61</f>
        <v>Australia</v>
      </c>
      <c r="I115" s="9" t="str">
        <f ca="1">+WORLDCUP!BD69</f>
        <v>Ghana</v>
      </c>
      <c r="J115" s="9" t="str">
        <f ca="1">+WORLDCUP!BD66</f>
        <v>Iraq</v>
      </c>
      <c r="N115" s="16" t="s">
        <v>1113</v>
      </c>
      <c r="O115" s="16">
        <v>114</v>
      </c>
      <c r="P115" s="16" t="s">
        <v>446</v>
      </c>
      <c r="Q115" s="16" t="s">
        <v>445</v>
      </c>
      <c r="R115" s="16" t="s">
        <v>91</v>
      </c>
      <c r="S115" s="16" t="s">
        <v>92</v>
      </c>
      <c r="T115" s="16" t="s">
        <v>451</v>
      </c>
      <c r="U115" s="16" t="s">
        <v>93</v>
      </c>
      <c r="V115" s="16" t="s">
        <v>453</v>
      </c>
      <c r="W115" s="16" t="s">
        <v>450</v>
      </c>
    </row>
    <row r="116" spans="1:23" x14ac:dyDescent="0.2">
      <c r="A116" s="9" t="s">
        <v>1112</v>
      </c>
      <c r="B116" s="9">
        <f ca="1">+IF(A116=WORLDCUP!$BI$112,1,0)</f>
        <v>0</v>
      </c>
      <c r="C116" s="9" t="str">
        <f ca="1">+WORLDCUP!BD65</f>
        <v>Saudi Arabia</v>
      </c>
      <c r="D116" s="9" t="str">
        <f ca="1">+WORLDCUP!BD64</f>
        <v>Iran</v>
      </c>
      <c r="E116" s="9" t="str">
        <f ca="1">+WORLDCUP!BD59</f>
        <v>Qatar</v>
      </c>
      <c r="F116" s="9" t="str">
        <f ca="1">+WORLDCUP!BD60</f>
        <v>Haiti</v>
      </c>
      <c r="G116" s="9" t="str">
        <f ca="1">+WORLDCUP!BD67</f>
        <v>Austria</v>
      </c>
      <c r="H116" s="9" t="str">
        <f ca="1">+WORLDCUP!BD61</f>
        <v>Australia</v>
      </c>
      <c r="I116" s="9" t="str">
        <f ca="1">+WORLDCUP!BD66</f>
        <v>Iraq</v>
      </c>
      <c r="J116" s="9" t="str">
        <f ca="1">+WORLDCUP!BD68</f>
        <v>Uzbekistan</v>
      </c>
      <c r="N116" s="16" t="s">
        <v>1112</v>
      </c>
      <c r="O116" s="16">
        <v>115</v>
      </c>
      <c r="P116" s="16" t="s">
        <v>446</v>
      </c>
      <c r="Q116" s="16" t="s">
        <v>445</v>
      </c>
      <c r="R116" s="16" t="s">
        <v>91</v>
      </c>
      <c r="S116" s="16" t="s">
        <v>92</v>
      </c>
      <c r="T116" s="16" t="s">
        <v>451</v>
      </c>
      <c r="U116" s="16" t="s">
        <v>93</v>
      </c>
      <c r="V116" s="16" t="s">
        <v>450</v>
      </c>
      <c r="W116" s="16" t="s">
        <v>452</v>
      </c>
    </row>
    <row r="117" spans="1:23" x14ac:dyDescent="0.2">
      <c r="A117" s="9" t="s">
        <v>1111</v>
      </c>
      <c r="B117" s="9">
        <f ca="1">+IF(A117=WORLDCUP!$BI$112,1,0)</f>
        <v>0</v>
      </c>
      <c r="C117" s="9" t="str">
        <f ca="1">+WORLDCUP!BD60</f>
        <v>Haiti</v>
      </c>
      <c r="D117" s="9" t="str">
        <f ca="1">+WORLDCUP!BD67</f>
        <v>Austria</v>
      </c>
      <c r="E117" s="9" t="str">
        <f ca="1">+WORLDCUP!BD59</f>
        <v>Qatar</v>
      </c>
      <c r="F117" s="9" t="str">
        <f ca="1">+WORLDCUP!BD61</f>
        <v>Australia</v>
      </c>
      <c r="G117" s="9" t="str">
        <f ca="1">+WORLDCUP!BD66</f>
        <v>Iraq</v>
      </c>
      <c r="H117" s="9" t="str">
        <f ca="1">+WORLDCUP!BD63</f>
        <v>Sweden</v>
      </c>
      <c r="I117" s="9" t="str">
        <f ca="1">+WORLDCUP!BD69</f>
        <v>Ghana</v>
      </c>
      <c r="J117" s="9" t="str">
        <f ca="1">+WORLDCUP!BD68</f>
        <v>Uzbekistan</v>
      </c>
      <c r="N117" s="16" t="s">
        <v>1111</v>
      </c>
      <c r="O117" s="16">
        <v>116</v>
      </c>
      <c r="P117" s="16" t="s">
        <v>92</v>
      </c>
      <c r="Q117" s="16" t="s">
        <v>451</v>
      </c>
      <c r="R117" s="16" t="s">
        <v>91</v>
      </c>
      <c r="S117" s="16" t="s">
        <v>93</v>
      </c>
      <c r="T117" s="16" t="s">
        <v>450</v>
      </c>
      <c r="U117" s="16" t="s">
        <v>95</v>
      </c>
      <c r="V117" s="16" t="s">
        <v>453</v>
      </c>
      <c r="W117" s="16" t="s">
        <v>452</v>
      </c>
    </row>
    <row r="118" spans="1:23" x14ac:dyDescent="0.2">
      <c r="A118" s="9" t="s">
        <v>1110</v>
      </c>
      <c r="B118" s="9">
        <f ca="1">+IF(A118=WORLDCUP!$BI$112,1,0)</f>
        <v>0</v>
      </c>
      <c r="C118" s="9" t="str">
        <f ca="1">+WORLDCUP!BD60</f>
        <v>Haiti</v>
      </c>
      <c r="D118" s="9" t="str">
        <f ca="1">+WORLDCUP!BD67</f>
        <v>Austria</v>
      </c>
      <c r="E118" s="9" t="str">
        <f ca="1">+WORLDCUP!BD59</f>
        <v>Qatar</v>
      </c>
      <c r="F118" s="9" t="str">
        <f ca="1">+WORLDCUP!BD61</f>
        <v>Australia</v>
      </c>
      <c r="G118" s="9" t="str">
        <f ca="1">+WORLDCUP!BD65</f>
        <v>Saudi Arabia</v>
      </c>
      <c r="H118" s="9" t="str">
        <f ca="1">+WORLDCUP!BD63</f>
        <v>Sweden</v>
      </c>
      <c r="I118" s="9" t="str">
        <f ca="1">+WORLDCUP!BD69</f>
        <v>Ghana</v>
      </c>
      <c r="J118" s="9" t="str">
        <f ca="1">+WORLDCUP!BD68</f>
        <v>Uzbekistan</v>
      </c>
      <c r="N118" s="16" t="s">
        <v>1110</v>
      </c>
      <c r="O118" s="16">
        <v>117</v>
      </c>
      <c r="P118" s="16" t="s">
        <v>92</v>
      </c>
      <c r="Q118" s="16" t="s">
        <v>451</v>
      </c>
      <c r="R118" s="16" t="s">
        <v>91</v>
      </c>
      <c r="S118" s="16" t="s">
        <v>93</v>
      </c>
      <c r="T118" s="16" t="s">
        <v>446</v>
      </c>
      <c r="U118" s="16" t="s">
        <v>95</v>
      </c>
      <c r="V118" s="16" t="s">
        <v>453</v>
      </c>
      <c r="W118" s="16" t="s">
        <v>452</v>
      </c>
    </row>
    <row r="119" spans="1:23" x14ac:dyDescent="0.2">
      <c r="A119" s="9" t="s">
        <v>1109</v>
      </c>
      <c r="B119" s="9">
        <f ca="1">+IF(A119=WORLDCUP!$BI$112,1,0)</f>
        <v>0</v>
      </c>
      <c r="C119" s="9" t="str">
        <f ca="1">+WORLDCUP!BD60</f>
        <v>Haiti</v>
      </c>
      <c r="D119" s="9" t="str">
        <f ca="1">+WORLDCUP!BD66</f>
        <v>Iraq</v>
      </c>
      <c r="E119" s="9" t="str">
        <f ca="1">+WORLDCUP!BD59</f>
        <v>Qatar</v>
      </c>
      <c r="F119" s="9" t="str">
        <f ca="1">+WORLDCUP!BD61</f>
        <v>Australia</v>
      </c>
      <c r="G119" s="9" t="str">
        <f ca="1">+WORLDCUP!BD65</f>
        <v>Saudi Arabia</v>
      </c>
      <c r="H119" s="9" t="str">
        <f ca="1">+WORLDCUP!BD63</f>
        <v>Sweden</v>
      </c>
      <c r="I119" s="9" t="str">
        <f ca="1">+WORLDCUP!BD69</f>
        <v>Ghana</v>
      </c>
      <c r="J119" s="9" t="str">
        <f ca="1">+WORLDCUP!BD68</f>
        <v>Uzbekistan</v>
      </c>
      <c r="N119" s="16" t="s">
        <v>1109</v>
      </c>
      <c r="O119" s="16">
        <v>118</v>
      </c>
      <c r="P119" s="16" t="s">
        <v>92</v>
      </c>
      <c r="Q119" s="16" t="s">
        <v>450</v>
      </c>
      <c r="R119" s="16" t="s">
        <v>91</v>
      </c>
      <c r="S119" s="16" t="s">
        <v>93</v>
      </c>
      <c r="T119" s="16" t="s">
        <v>446</v>
      </c>
      <c r="U119" s="16" t="s">
        <v>95</v>
      </c>
      <c r="V119" s="16" t="s">
        <v>453</v>
      </c>
      <c r="W119" s="16" t="s">
        <v>452</v>
      </c>
    </row>
    <row r="120" spans="1:23" x14ac:dyDescent="0.2">
      <c r="A120" s="9" t="s">
        <v>1108</v>
      </c>
      <c r="B120" s="9">
        <f ca="1">+IF(A120=WORLDCUP!$BI$112,1,0)</f>
        <v>0</v>
      </c>
      <c r="C120" s="9" t="str">
        <f ca="1">+WORLDCUP!BD60</f>
        <v>Haiti</v>
      </c>
      <c r="D120" s="9" t="str">
        <f ca="1">+WORLDCUP!BD67</f>
        <v>Austria</v>
      </c>
      <c r="E120" s="9" t="str">
        <f ca="1">+WORLDCUP!BD59</f>
        <v>Qatar</v>
      </c>
      <c r="F120" s="9" t="str">
        <f ca="1">+WORLDCUP!BD61</f>
        <v>Australia</v>
      </c>
      <c r="G120" s="9" t="str">
        <f ca="1">+WORLDCUP!BD65</f>
        <v>Saudi Arabia</v>
      </c>
      <c r="H120" s="9" t="str">
        <f ca="1">+WORLDCUP!BD63</f>
        <v>Sweden</v>
      </c>
      <c r="I120" s="9" t="str">
        <f ca="1">+WORLDCUP!BD69</f>
        <v>Ghana</v>
      </c>
      <c r="J120" s="9" t="str">
        <f ca="1">+WORLDCUP!BD66</f>
        <v>Iraq</v>
      </c>
      <c r="N120" s="16" t="s">
        <v>1108</v>
      </c>
      <c r="O120" s="16">
        <v>119</v>
      </c>
      <c r="P120" s="16" t="s">
        <v>92</v>
      </c>
      <c r="Q120" s="16" t="s">
        <v>451</v>
      </c>
      <c r="R120" s="16" t="s">
        <v>91</v>
      </c>
      <c r="S120" s="16" t="s">
        <v>93</v>
      </c>
      <c r="T120" s="16" t="s">
        <v>446</v>
      </c>
      <c r="U120" s="16" t="s">
        <v>95</v>
      </c>
      <c r="V120" s="16" t="s">
        <v>453</v>
      </c>
      <c r="W120" s="16" t="s">
        <v>450</v>
      </c>
    </row>
    <row r="121" spans="1:23" x14ac:dyDescent="0.2">
      <c r="A121" s="9" t="s">
        <v>1107</v>
      </c>
      <c r="B121" s="9">
        <f ca="1">+IF(A121=WORLDCUP!$BI$112,1,0)</f>
        <v>0</v>
      </c>
      <c r="C121" s="9" t="str">
        <f ca="1">+WORLDCUP!BD60</f>
        <v>Haiti</v>
      </c>
      <c r="D121" s="9" t="str">
        <f ca="1">+WORLDCUP!BD67</f>
        <v>Austria</v>
      </c>
      <c r="E121" s="9" t="str">
        <f ca="1">+WORLDCUP!BD59</f>
        <v>Qatar</v>
      </c>
      <c r="F121" s="9" t="str">
        <f ca="1">+WORLDCUP!BD61</f>
        <v>Australia</v>
      </c>
      <c r="G121" s="9" t="str">
        <f ca="1">+WORLDCUP!BD65</f>
        <v>Saudi Arabia</v>
      </c>
      <c r="H121" s="9" t="str">
        <f ca="1">+WORLDCUP!BD63</f>
        <v>Sweden</v>
      </c>
      <c r="I121" s="9" t="str">
        <f ca="1">+WORLDCUP!BD66</f>
        <v>Iraq</v>
      </c>
      <c r="J121" s="9" t="str">
        <f ca="1">+WORLDCUP!BD68</f>
        <v>Uzbekistan</v>
      </c>
      <c r="N121" s="16" t="s">
        <v>1107</v>
      </c>
      <c r="O121" s="16">
        <v>120</v>
      </c>
      <c r="P121" s="16" t="s">
        <v>92</v>
      </c>
      <c r="Q121" s="16" t="s">
        <v>451</v>
      </c>
      <c r="R121" s="16" t="s">
        <v>91</v>
      </c>
      <c r="S121" s="16" t="s">
        <v>93</v>
      </c>
      <c r="T121" s="16" t="s">
        <v>446</v>
      </c>
      <c r="U121" s="16" t="s">
        <v>95</v>
      </c>
      <c r="V121" s="16" t="s">
        <v>450</v>
      </c>
      <c r="W121" s="16" t="s">
        <v>452</v>
      </c>
    </row>
    <row r="122" spans="1:23" x14ac:dyDescent="0.2">
      <c r="A122" s="9" t="s">
        <v>1106</v>
      </c>
      <c r="B122" s="9">
        <f ca="1">+IF(A122=WORLDCUP!$BI$112,1,0)</f>
        <v>0</v>
      </c>
      <c r="C122" s="9" t="str">
        <f ca="1">+WORLDCUP!BD60</f>
        <v>Haiti</v>
      </c>
      <c r="D122" s="9" t="str">
        <f ca="1">+WORLDCUP!BD64</f>
        <v>Iran</v>
      </c>
      <c r="E122" s="9" t="str">
        <f ca="1">+WORLDCUP!BD59</f>
        <v>Qatar</v>
      </c>
      <c r="F122" s="9" t="str">
        <f ca="1">+WORLDCUP!BD61</f>
        <v>Australia</v>
      </c>
      <c r="G122" s="9" t="str">
        <f ca="1">+WORLDCUP!BD67</f>
        <v>Austria</v>
      </c>
      <c r="H122" s="9" t="str">
        <f ca="1">+WORLDCUP!BD63</f>
        <v>Sweden</v>
      </c>
      <c r="I122" s="9" t="str">
        <f ca="1">+WORLDCUP!BD69</f>
        <v>Ghana</v>
      </c>
      <c r="J122" s="9" t="str">
        <f ca="1">+WORLDCUP!BD68</f>
        <v>Uzbekistan</v>
      </c>
      <c r="N122" s="16" t="s">
        <v>1106</v>
      </c>
      <c r="O122" s="16">
        <v>121</v>
      </c>
      <c r="P122" s="16" t="s">
        <v>92</v>
      </c>
      <c r="Q122" s="16" t="s">
        <v>445</v>
      </c>
      <c r="R122" s="16" t="s">
        <v>91</v>
      </c>
      <c r="S122" s="16" t="s">
        <v>93</v>
      </c>
      <c r="T122" s="16" t="s">
        <v>451</v>
      </c>
      <c r="U122" s="16" t="s">
        <v>95</v>
      </c>
      <c r="V122" s="16" t="s">
        <v>453</v>
      </c>
      <c r="W122" s="16" t="s">
        <v>452</v>
      </c>
    </row>
    <row r="123" spans="1:23" x14ac:dyDescent="0.2">
      <c r="A123" s="9" t="s">
        <v>1105</v>
      </c>
      <c r="B123" s="9">
        <f ca="1">+IF(A123=WORLDCUP!$BI$112,1,0)</f>
        <v>0</v>
      </c>
      <c r="C123" s="9" t="str">
        <f ca="1">+WORLDCUP!BD60</f>
        <v>Haiti</v>
      </c>
      <c r="D123" s="9" t="str">
        <f ca="1">+WORLDCUP!BD64</f>
        <v>Iran</v>
      </c>
      <c r="E123" s="9" t="str">
        <f ca="1">+WORLDCUP!BD59</f>
        <v>Qatar</v>
      </c>
      <c r="F123" s="9" t="str">
        <f ca="1">+WORLDCUP!BD61</f>
        <v>Australia</v>
      </c>
      <c r="G123" s="9" t="str">
        <f ca="1">+WORLDCUP!BD66</f>
        <v>Iraq</v>
      </c>
      <c r="H123" s="9" t="str">
        <f ca="1">+WORLDCUP!BD63</f>
        <v>Sweden</v>
      </c>
      <c r="I123" s="9" t="str">
        <f ca="1">+WORLDCUP!BD69</f>
        <v>Ghana</v>
      </c>
      <c r="J123" s="9" t="str">
        <f ca="1">+WORLDCUP!BD68</f>
        <v>Uzbekistan</v>
      </c>
      <c r="N123" s="16" t="s">
        <v>1105</v>
      </c>
      <c r="O123" s="16">
        <v>122</v>
      </c>
      <c r="P123" s="16" t="s">
        <v>92</v>
      </c>
      <c r="Q123" s="16" t="s">
        <v>445</v>
      </c>
      <c r="R123" s="16" t="s">
        <v>91</v>
      </c>
      <c r="S123" s="16" t="s">
        <v>93</v>
      </c>
      <c r="T123" s="16" t="s">
        <v>450</v>
      </c>
      <c r="U123" s="16" t="s">
        <v>95</v>
      </c>
      <c r="V123" s="16" t="s">
        <v>453</v>
      </c>
      <c r="W123" s="16" t="s">
        <v>452</v>
      </c>
    </row>
    <row r="124" spans="1:23" x14ac:dyDescent="0.2">
      <c r="A124" s="9" t="s">
        <v>1104</v>
      </c>
      <c r="B124" s="9">
        <f ca="1">+IF(A124=WORLDCUP!$BI$112,1,0)</f>
        <v>0</v>
      </c>
      <c r="C124" s="9" t="str">
        <f ca="1">+WORLDCUP!BD60</f>
        <v>Haiti</v>
      </c>
      <c r="D124" s="9" t="str">
        <f ca="1">+WORLDCUP!BD64</f>
        <v>Iran</v>
      </c>
      <c r="E124" s="9" t="str">
        <f ca="1">+WORLDCUP!BD59</f>
        <v>Qatar</v>
      </c>
      <c r="F124" s="9" t="str">
        <f ca="1">+WORLDCUP!BD61</f>
        <v>Australia</v>
      </c>
      <c r="G124" s="9" t="str">
        <f ca="1">+WORLDCUP!BD67</f>
        <v>Austria</v>
      </c>
      <c r="H124" s="9" t="str">
        <f ca="1">+WORLDCUP!BD63</f>
        <v>Sweden</v>
      </c>
      <c r="I124" s="9" t="str">
        <f ca="1">+WORLDCUP!BD69</f>
        <v>Ghana</v>
      </c>
      <c r="J124" s="9" t="str">
        <f ca="1">+WORLDCUP!BD66</f>
        <v>Iraq</v>
      </c>
      <c r="N124" s="16" t="s">
        <v>1104</v>
      </c>
      <c r="O124" s="16">
        <v>123</v>
      </c>
      <c r="P124" s="16" t="s">
        <v>92</v>
      </c>
      <c r="Q124" s="16" t="s">
        <v>445</v>
      </c>
      <c r="R124" s="16" t="s">
        <v>91</v>
      </c>
      <c r="S124" s="16" t="s">
        <v>93</v>
      </c>
      <c r="T124" s="16" t="s">
        <v>451</v>
      </c>
      <c r="U124" s="16" t="s">
        <v>95</v>
      </c>
      <c r="V124" s="16" t="s">
        <v>453</v>
      </c>
      <c r="W124" s="16" t="s">
        <v>450</v>
      </c>
    </row>
    <row r="125" spans="1:23" x14ac:dyDescent="0.2">
      <c r="A125" s="9" t="s">
        <v>1103</v>
      </c>
      <c r="B125" s="9">
        <f ca="1">+IF(A125=WORLDCUP!$BI$112,1,0)</f>
        <v>0</v>
      </c>
      <c r="C125" s="9" t="str">
        <f ca="1">+WORLDCUP!BD60</f>
        <v>Haiti</v>
      </c>
      <c r="D125" s="9" t="str">
        <f ca="1">+WORLDCUP!BD64</f>
        <v>Iran</v>
      </c>
      <c r="E125" s="9" t="str">
        <f ca="1">+WORLDCUP!BD59</f>
        <v>Qatar</v>
      </c>
      <c r="F125" s="9" t="str">
        <f ca="1">+WORLDCUP!BD61</f>
        <v>Australia</v>
      </c>
      <c r="G125" s="9" t="str">
        <f ca="1">+WORLDCUP!BD67</f>
        <v>Austria</v>
      </c>
      <c r="H125" s="9" t="str">
        <f ca="1">+WORLDCUP!BD63</f>
        <v>Sweden</v>
      </c>
      <c r="I125" s="9" t="str">
        <f ca="1">+WORLDCUP!BD66</f>
        <v>Iraq</v>
      </c>
      <c r="J125" s="9" t="str">
        <f ca="1">+WORLDCUP!BD68</f>
        <v>Uzbekistan</v>
      </c>
      <c r="N125" s="16" t="s">
        <v>1103</v>
      </c>
      <c r="O125" s="16">
        <v>124</v>
      </c>
      <c r="P125" s="16" t="s">
        <v>92</v>
      </c>
      <c r="Q125" s="16" t="s">
        <v>445</v>
      </c>
      <c r="R125" s="16" t="s">
        <v>91</v>
      </c>
      <c r="S125" s="16" t="s">
        <v>93</v>
      </c>
      <c r="T125" s="16" t="s">
        <v>451</v>
      </c>
      <c r="U125" s="16" t="s">
        <v>95</v>
      </c>
      <c r="V125" s="16" t="s">
        <v>450</v>
      </c>
      <c r="W125" s="16" t="s">
        <v>452</v>
      </c>
    </row>
    <row r="126" spans="1:23" x14ac:dyDescent="0.2">
      <c r="A126" s="9" t="s">
        <v>1102</v>
      </c>
      <c r="B126" s="9">
        <f ca="1">+IF(A126=WORLDCUP!$BI$112,1,0)</f>
        <v>0</v>
      </c>
      <c r="C126" s="9" t="str">
        <f ca="1">+WORLDCUP!BD60</f>
        <v>Haiti</v>
      </c>
      <c r="D126" s="9" t="str">
        <f ca="1">+WORLDCUP!BD64</f>
        <v>Iran</v>
      </c>
      <c r="E126" s="9" t="str">
        <f ca="1">+WORLDCUP!BD59</f>
        <v>Qatar</v>
      </c>
      <c r="F126" s="9" t="str">
        <f ca="1">+WORLDCUP!BD61</f>
        <v>Australia</v>
      </c>
      <c r="G126" s="9" t="str">
        <f ca="1">+WORLDCUP!BD65</f>
        <v>Saudi Arabia</v>
      </c>
      <c r="H126" s="9" t="str">
        <f ca="1">+WORLDCUP!BD63</f>
        <v>Sweden</v>
      </c>
      <c r="I126" s="9" t="str">
        <f ca="1">+WORLDCUP!BD69</f>
        <v>Ghana</v>
      </c>
      <c r="J126" s="9" t="str">
        <f ca="1">+WORLDCUP!BD68</f>
        <v>Uzbekistan</v>
      </c>
      <c r="N126" s="16" t="s">
        <v>1102</v>
      </c>
      <c r="O126" s="16">
        <v>125</v>
      </c>
      <c r="P126" s="16" t="s">
        <v>92</v>
      </c>
      <c r="Q126" s="16" t="s">
        <v>445</v>
      </c>
      <c r="R126" s="16" t="s">
        <v>91</v>
      </c>
      <c r="S126" s="16" t="s">
        <v>93</v>
      </c>
      <c r="T126" s="16" t="s">
        <v>446</v>
      </c>
      <c r="U126" s="16" t="s">
        <v>95</v>
      </c>
      <c r="V126" s="16" t="s">
        <v>453</v>
      </c>
      <c r="W126" s="16" t="s">
        <v>452</v>
      </c>
    </row>
    <row r="127" spans="1:23" x14ac:dyDescent="0.2">
      <c r="A127" s="9" t="s">
        <v>1101</v>
      </c>
      <c r="B127" s="9">
        <f ca="1">+IF(A127=WORLDCUP!$BI$112,1,0)</f>
        <v>0</v>
      </c>
      <c r="C127" s="9" t="str">
        <f ca="1">+WORLDCUP!BD60</f>
        <v>Haiti</v>
      </c>
      <c r="D127" s="9" t="str">
        <f ca="1">+WORLDCUP!BD64</f>
        <v>Iran</v>
      </c>
      <c r="E127" s="9" t="str">
        <f ca="1">+WORLDCUP!BD59</f>
        <v>Qatar</v>
      </c>
      <c r="F127" s="9" t="str">
        <f ca="1">+WORLDCUP!BD61</f>
        <v>Australia</v>
      </c>
      <c r="G127" s="9" t="str">
        <f ca="1">+WORLDCUP!BD65</f>
        <v>Saudi Arabia</v>
      </c>
      <c r="H127" s="9" t="str">
        <f ca="1">+WORLDCUP!BD63</f>
        <v>Sweden</v>
      </c>
      <c r="I127" s="9" t="str">
        <f ca="1">+WORLDCUP!BD69</f>
        <v>Ghana</v>
      </c>
      <c r="J127" s="9" t="str">
        <f ca="1">+WORLDCUP!BD67</f>
        <v>Austria</v>
      </c>
      <c r="N127" s="16" t="s">
        <v>1101</v>
      </c>
      <c r="O127" s="16">
        <v>126</v>
      </c>
      <c r="P127" s="16" t="s">
        <v>92</v>
      </c>
      <c r="Q127" s="16" t="s">
        <v>445</v>
      </c>
      <c r="R127" s="16" t="s">
        <v>91</v>
      </c>
      <c r="S127" s="16" t="s">
        <v>93</v>
      </c>
      <c r="T127" s="16" t="s">
        <v>446</v>
      </c>
      <c r="U127" s="16" t="s">
        <v>95</v>
      </c>
      <c r="V127" s="16" t="s">
        <v>453</v>
      </c>
      <c r="W127" s="16" t="s">
        <v>451</v>
      </c>
    </row>
    <row r="128" spans="1:23" x14ac:dyDescent="0.2">
      <c r="A128" s="9" t="s">
        <v>1100</v>
      </c>
      <c r="B128" s="9">
        <f ca="1">+IF(A128=WORLDCUP!$BI$112,1,0)</f>
        <v>0</v>
      </c>
      <c r="C128" s="9" t="str">
        <f ca="1">+WORLDCUP!BD65</f>
        <v>Saudi Arabia</v>
      </c>
      <c r="D128" s="9" t="str">
        <f ca="1">+WORLDCUP!BD64</f>
        <v>Iran</v>
      </c>
      <c r="E128" s="9" t="str">
        <f ca="1">+WORLDCUP!BD59</f>
        <v>Qatar</v>
      </c>
      <c r="F128" s="9" t="str">
        <f ca="1">+WORLDCUP!BD60</f>
        <v>Haiti</v>
      </c>
      <c r="G128" s="9" t="str">
        <f ca="1">+WORLDCUP!BD67</f>
        <v>Austria</v>
      </c>
      <c r="H128" s="9" t="str">
        <f ca="1">+WORLDCUP!BD63</f>
        <v>Sweden</v>
      </c>
      <c r="I128" s="9" t="str">
        <f ca="1">+WORLDCUP!BD61</f>
        <v>Australia</v>
      </c>
      <c r="J128" s="9" t="str">
        <f ca="1">+WORLDCUP!BD68</f>
        <v>Uzbekistan</v>
      </c>
      <c r="N128" s="16" t="s">
        <v>1100</v>
      </c>
      <c r="O128" s="16">
        <v>127</v>
      </c>
      <c r="P128" s="16" t="s">
        <v>446</v>
      </c>
      <c r="Q128" s="16" t="s">
        <v>445</v>
      </c>
      <c r="R128" s="16" t="s">
        <v>91</v>
      </c>
      <c r="S128" s="16" t="s">
        <v>92</v>
      </c>
      <c r="T128" s="16" t="s">
        <v>451</v>
      </c>
      <c r="U128" s="16" t="s">
        <v>95</v>
      </c>
      <c r="V128" s="16" t="s">
        <v>93</v>
      </c>
      <c r="W128" s="16" t="s">
        <v>452</v>
      </c>
    </row>
    <row r="129" spans="1:23" x14ac:dyDescent="0.2">
      <c r="A129" s="9" t="s">
        <v>1099</v>
      </c>
      <c r="B129" s="9">
        <f ca="1">+IF(A129=WORLDCUP!$BI$112,1,0)</f>
        <v>0</v>
      </c>
      <c r="C129" s="9" t="str">
        <f ca="1">+WORLDCUP!BD60</f>
        <v>Haiti</v>
      </c>
      <c r="D129" s="9" t="str">
        <f ca="1">+WORLDCUP!BD64</f>
        <v>Iran</v>
      </c>
      <c r="E129" s="9" t="str">
        <f ca="1">+WORLDCUP!BD59</f>
        <v>Qatar</v>
      </c>
      <c r="F129" s="9" t="str">
        <f ca="1">+WORLDCUP!BD61</f>
        <v>Australia</v>
      </c>
      <c r="G129" s="9" t="str">
        <f ca="1">+WORLDCUP!BD65</f>
        <v>Saudi Arabia</v>
      </c>
      <c r="H129" s="9" t="str">
        <f ca="1">+WORLDCUP!BD63</f>
        <v>Sweden</v>
      </c>
      <c r="I129" s="9" t="str">
        <f ca="1">+WORLDCUP!BD69</f>
        <v>Ghana</v>
      </c>
      <c r="J129" s="9" t="str">
        <f ca="1">+WORLDCUP!BD66</f>
        <v>Iraq</v>
      </c>
      <c r="N129" s="16" t="s">
        <v>1099</v>
      </c>
      <c r="O129" s="16">
        <v>128</v>
      </c>
      <c r="P129" s="16" t="s">
        <v>92</v>
      </c>
      <c r="Q129" s="16" t="s">
        <v>445</v>
      </c>
      <c r="R129" s="16" t="s">
        <v>91</v>
      </c>
      <c r="S129" s="16" t="s">
        <v>93</v>
      </c>
      <c r="T129" s="16" t="s">
        <v>446</v>
      </c>
      <c r="U129" s="16" t="s">
        <v>95</v>
      </c>
      <c r="V129" s="16" t="s">
        <v>453</v>
      </c>
      <c r="W129" s="16" t="s">
        <v>450</v>
      </c>
    </row>
    <row r="130" spans="1:23" x14ac:dyDescent="0.2">
      <c r="A130" s="9" t="s">
        <v>1098</v>
      </c>
      <c r="B130" s="9">
        <f ca="1">+IF(A130=WORLDCUP!$BI$112,1,0)</f>
        <v>0</v>
      </c>
      <c r="C130" s="9" t="str">
        <f ca="1">+WORLDCUP!BD60</f>
        <v>Haiti</v>
      </c>
      <c r="D130" s="9" t="str">
        <f ca="1">+WORLDCUP!BD64</f>
        <v>Iran</v>
      </c>
      <c r="E130" s="9" t="str">
        <f ca="1">+WORLDCUP!BD59</f>
        <v>Qatar</v>
      </c>
      <c r="F130" s="9" t="str">
        <f ca="1">+WORLDCUP!BD61</f>
        <v>Australia</v>
      </c>
      <c r="G130" s="9" t="str">
        <f ca="1">+WORLDCUP!BD65</f>
        <v>Saudi Arabia</v>
      </c>
      <c r="H130" s="9" t="str">
        <f ca="1">+WORLDCUP!BD63</f>
        <v>Sweden</v>
      </c>
      <c r="I130" s="9" t="str">
        <f ca="1">+WORLDCUP!BD66</f>
        <v>Iraq</v>
      </c>
      <c r="J130" s="9" t="str">
        <f ca="1">+WORLDCUP!BD68</f>
        <v>Uzbekistan</v>
      </c>
      <c r="N130" s="16" t="s">
        <v>1098</v>
      </c>
      <c r="O130" s="16">
        <v>129</v>
      </c>
      <c r="P130" s="16" t="s">
        <v>92</v>
      </c>
      <c r="Q130" s="16" t="s">
        <v>445</v>
      </c>
      <c r="R130" s="16" t="s">
        <v>91</v>
      </c>
      <c r="S130" s="16" t="s">
        <v>93</v>
      </c>
      <c r="T130" s="16" t="s">
        <v>446</v>
      </c>
      <c r="U130" s="16" t="s">
        <v>95</v>
      </c>
      <c r="V130" s="16" t="s">
        <v>450</v>
      </c>
      <c r="W130" s="16" t="s">
        <v>452</v>
      </c>
    </row>
    <row r="131" spans="1:23" x14ac:dyDescent="0.2">
      <c r="A131" s="9" t="s">
        <v>1097</v>
      </c>
      <c r="B131" s="9">
        <f ca="1">+IF(A131=WORLDCUP!$BI$112,1,0)</f>
        <v>0</v>
      </c>
      <c r="C131" s="9" t="str">
        <f ca="1">+WORLDCUP!BD65</f>
        <v>Saudi Arabia</v>
      </c>
      <c r="D131" s="9" t="str">
        <f ca="1">+WORLDCUP!BD64</f>
        <v>Iran</v>
      </c>
      <c r="E131" s="9" t="str">
        <f ca="1">+WORLDCUP!BD59</f>
        <v>Qatar</v>
      </c>
      <c r="F131" s="9" t="str">
        <f ca="1">+WORLDCUP!BD60</f>
        <v>Haiti</v>
      </c>
      <c r="G131" s="9" t="str">
        <f ca="1">+WORLDCUP!BD67</f>
        <v>Austria</v>
      </c>
      <c r="H131" s="9" t="str">
        <f ca="1">+WORLDCUP!BD63</f>
        <v>Sweden</v>
      </c>
      <c r="I131" s="9" t="str">
        <f ca="1">+WORLDCUP!BD61</f>
        <v>Australia</v>
      </c>
      <c r="J131" s="9" t="str">
        <f ca="1">+WORLDCUP!BD66</f>
        <v>Iraq</v>
      </c>
      <c r="N131" s="16" t="s">
        <v>1097</v>
      </c>
      <c r="O131" s="16">
        <v>130</v>
      </c>
      <c r="P131" s="16" t="s">
        <v>446</v>
      </c>
      <c r="Q131" s="16" t="s">
        <v>445</v>
      </c>
      <c r="R131" s="16" t="s">
        <v>91</v>
      </c>
      <c r="S131" s="16" t="s">
        <v>92</v>
      </c>
      <c r="T131" s="16" t="s">
        <v>451</v>
      </c>
      <c r="U131" s="16" t="s">
        <v>95</v>
      </c>
      <c r="V131" s="16" t="s">
        <v>93</v>
      </c>
      <c r="W131" s="16" t="s">
        <v>450</v>
      </c>
    </row>
    <row r="132" spans="1:23" x14ac:dyDescent="0.2">
      <c r="A132" s="9" t="s">
        <v>1096</v>
      </c>
      <c r="B132" s="9">
        <f ca="1">+IF(A132=WORLDCUP!$BI$112,1,0)</f>
        <v>0</v>
      </c>
      <c r="C132" s="9" t="str">
        <f ca="1">+WORLDCUP!BD62</f>
        <v>Ivory Coast</v>
      </c>
      <c r="D132" s="9" t="str">
        <f ca="1">+WORLDCUP!BD67</f>
        <v>Austria</v>
      </c>
      <c r="E132" s="9" t="str">
        <f ca="1">+WORLDCUP!BD59</f>
        <v>Qatar</v>
      </c>
      <c r="F132" s="9" t="str">
        <f ca="1">+WORLDCUP!BD60</f>
        <v>Haiti</v>
      </c>
      <c r="G132" s="9" t="str">
        <f ca="1">+WORLDCUP!BD66</f>
        <v>Iraq</v>
      </c>
      <c r="H132" s="9" t="str">
        <f ca="1">+WORLDCUP!BD61</f>
        <v>Australia</v>
      </c>
      <c r="I132" s="9" t="str">
        <f ca="1">+WORLDCUP!BD69</f>
        <v>Ghana</v>
      </c>
      <c r="J132" s="9" t="str">
        <f ca="1">+WORLDCUP!BD68</f>
        <v>Uzbekistan</v>
      </c>
      <c r="N132" s="16" t="s">
        <v>1096</v>
      </c>
      <c r="O132" s="16">
        <v>131</v>
      </c>
      <c r="P132" s="16" t="s">
        <v>94</v>
      </c>
      <c r="Q132" s="16" t="s">
        <v>451</v>
      </c>
      <c r="R132" s="16" t="s">
        <v>91</v>
      </c>
      <c r="S132" s="16" t="s">
        <v>92</v>
      </c>
      <c r="T132" s="16" t="s">
        <v>450</v>
      </c>
      <c r="U132" s="16" t="s">
        <v>93</v>
      </c>
      <c r="V132" s="16" t="s">
        <v>453</v>
      </c>
      <c r="W132" s="16" t="s">
        <v>452</v>
      </c>
    </row>
    <row r="133" spans="1:23" x14ac:dyDescent="0.2">
      <c r="A133" s="9" t="s">
        <v>1095</v>
      </c>
      <c r="B133" s="9">
        <f ca="1">+IF(A133=WORLDCUP!$BI$112,1,0)</f>
        <v>0</v>
      </c>
      <c r="C133" s="9" t="str">
        <f ca="1">+WORLDCUP!BD62</f>
        <v>Ivory Coast</v>
      </c>
      <c r="D133" s="9" t="str">
        <f ca="1">+WORLDCUP!BD67</f>
        <v>Austria</v>
      </c>
      <c r="E133" s="9" t="str">
        <f ca="1">+WORLDCUP!BD59</f>
        <v>Qatar</v>
      </c>
      <c r="F133" s="9" t="str">
        <f ca="1">+WORLDCUP!BD60</f>
        <v>Haiti</v>
      </c>
      <c r="G133" s="9" t="str">
        <f ca="1">+WORLDCUP!BD65</f>
        <v>Saudi Arabia</v>
      </c>
      <c r="H133" s="9" t="str">
        <f ca="1">+WORLDCUP!BD61</f>
        <v>Australia</v>
      </c>
      <c r="I133" s="9" t="str">
        <f ca="1">+WORLDCUP!BD69</f>
        <v>Ghana</v>
      </c>
      <c r="J133" s="9" t="str">
        <f ca="1">+WORLDCUP!BD68</f>
        <v>Uzbekistan</v>
      </c>
      <c r="N133" s="16" t="s">
        <v>1095</v>
      </c>
      <c r="O133" s="16">
        <v>132</v>
      </c>
      <c r="P133" s="16" t="s">
        <v>94</v>
      </c>
      <c r="Q133" s="16" t="s">
        <v>451</v>
      </c>
      <c r="R133" s="16" t="s">
        <v>91</v>
      </c>
      <c r="S133" s="16" t="s">
        <v>92</v>
      </c>
      <c r="T133" s="16" t="s">
        <v>446</v>
      </c>
      <c r="U133" s="16" t="s">
        <v>93</v>
      </c>
      <c r="V133" s="16" t="s">
        <v>453</v>
      </c>
      <c r="W133" s="16" t="s">
        <v>452</v>
      </c>
    </row>
    <row r="134" spans="1:23" x14ac:dyDescent="0.2">
      <c r="A134" s="9" t="s">
        <v>1094</v>
      </c>
      <c r="B134" s="9">
        <f ca="1">+IF(A134=WORLDCUP!$BI$112,1,0)</f>
        <v>0</v>
      </c>
      <c r="C134" s="9" t="str">
        <f ca="1">+WORLDCUP!BD62</f>
        <v>Ivory Coast</v>
      </c>
      <c r="D134" s="9" t="str">
        <f ca="1">+WORLDCUP!BD66</f>
        <v>Iraq</v>
      </c>
      <c r="E134" s="9" t="str">
        <f ca="1">+WORLDCUP!BD59</f>
        <v>Qatar</v>
      </c>
      <c r="F134" s="9" t="str">
        <f ca="1">+WORLDCUP!BD60</f>
        <v>Haiti</v>
      </c>
      <c r="G134" s="9" t="str">
        <f ca="1">+WORLDCUP!BD65</f>
        <v>Saudi Arabia</v>
      </c>
      <c r="H134" s="9" t="str">
        <f ca="1">+WORLDCUP!BD61</f>
        <v>Australia</v>
      </c>
      <c r="I134" s="9" t="str">
        <f ca="1">+WORLDCUP!BD69</f>
        <v>Ghana</v>
      </c>
      <c r="J134" s="9" t="str">
        <f ca="1">+WORLDCUP!BD68</f>
        <v>Uzbekistan</v>
      </c>
      <c r="N134" s="16" t="s">
        <v>1094</v>
      </c>
      <c r="O134" s="16">
        <v>133</v>
      </c>
      <c r="P134" s="16" t="s">
        <v>94</v>
      </c>
      <c r="Q134" s="16" t="s">
        <v>450</v>
      </c>
      <c r="R134" s="16" t="s">
        <v>91</v>
      </c>
      <c r="S134" s="16" t="s">
        <v>92</v>
      </c>
      <c r="T134" s="16" t="s">
        <v>446</v>
      </c>
      <c r="U134" s="16" t="s">
        <v>93</v>
      </c>
      <c r="V134" s="16" t="s">
        <v>453</v>
      </c>
      <c r="W134" s="16" t="s">
        <v>452</v>
      </c>
    </row>
    <row r="135" spans="1:23" x14ac:dyDescent="0.2">
      <c r="A135" s="9" t="s">
        <v>1093</v>
      </c>
      <c r="B135" s="9">
        <f ca="1">+IF(A135=WORLDCUP!$BI$112,1,0)</f>
        <v>0</v>
      </c>
      <c r="C135" s="9" t="str">
        <f ca="1">+WORLDCUP!BD62</f>
        <v>Ivory Coast</v>
      </c>
      <c r="D135" s="9" t="str">
        <f ca="1">+WORLDCUP!BD67</f>
        <v>Austria</v>
      </c>
      <c r="E135" s="9" t="str">
        <f ca="1">+WORLDCUP!BD59</f>
        <v>Qatar</v>
      </c>
      <c r="F135" s="9" t="str">
        <f ca="1">+WORLDCUP!BD60</f>
        <v>Haiti</v>
      </c>
      <c r="G135" s="9" t="str">
        <f ca="1">+WORLDCUP!BD65</f>
        <v>Saudi Arabia</v>
      </c>
      <c r="H135" s="9" t="str">
        <f ca="1">+WORLDCUP!BD61</f>
        <v>Australia</v>
      </c>
      <c r="I135" s="9" t="str">
        <f ca="1">+WORLDCUP!BD69</f>
        <v>Ghana</v>
      </c>
      <c r="J135" s="9" t="str">
        <f ca="1">+WORLDCUP!BD66</f>
        <v>Iraq</v>
      </c>
      <c r="N135" s="16" t="s">
        <v>1093</v>
      </c>
      <c r="O135" s="16">
        <v>134</v>
      </c>
      <c r="P135" s="16" t="s">
        <v>94</v>
      </c>
      <c r="Q135" s="16" t="s">
        <v>451</v>
      </c>
      <c r="R135" s="16" t="s">
        <v>91</v>
      </c>
      <c r="S135" s="16" t="s">
        <v>92</v>
      </c>
      <c r="T135" s="16" t="s">
        <v>446</v>
      </c>
      <c r="U135" s="16" t="s">
        <v>93</v>
      </c>
      <c r="V135" s="16" t="s">
        <v>453</v>
      </c>
      <c r="W135" s="16" t="s">
        <v>450</v>
      </c>
    </row>
    <row r="136" spans="1:23" x14ac:dyDescent="0.2">
      <c r="A136" s="9" t="s">
        <v>1092</v>
      </c>
      <c r="B136" s="9">
        <f ca="1">+IF(A136=WORLDCUP!$BI$112,1,0)</f>
        <v>0</v>
      </c>
      <c r="C136" s="9" t="str">
        <f ca="1">+WORLDCUP!BD62</f>
        <v>Ivory Coast</v>
      </c>
      <c r="D136" s="9" t="str">
        <f ca="1">+WORLDCUP!BD67</f>
        <v>Austria</v>
      </c>
      <c r="E136" s="9" t="str">
        <f ca="1">+WORLDCUP!BD59</f>
        <v>Qatar</v>
      </c>
      <c r="F136" s="9" t="str">
        <f ca="1">+WORLDCUP!BD60</f>
        <v>Haiti</v>
      </c>
      <c r="G136" s="9" t="str">
        <f ca="1">+WORLDCUP!BD65</f>
        <v>Saudi Arabia</v>
      </c>
      <c r="H136" s="9" t="str">
        <f ca="1">+WORLDCUP!BD61</f>
        <v>Australia</v>
      </c>
      <c r="I136" s="9" t="str">
        <f ca="1">+WORLDCUP!BD66</f>
        <v>Iraq</v>
      </c>
      <c r="J136" s="9" t="str">
        <f ca="1">+WORLDCUP!BD68</f>
        <v>Uzbekistan</v>
      </c>
      <c r="N136" s="16" t="s">
        <v>1092</v>
      </c>
      <c r="O136" s="16">
        <v>135</v>
      </c>
      <c r="P136" s="16" t="s">
        <v>94</v>
      </c>
      <c r="Q136" s="16" t="s">
        <v>451</v>
      </c>
      <c r="R136" s="16" t="s">
        <v>91</v>
      </c>
      <c r="S136" s="16" t="s">
        <v>92</v>
      </c>
      <c r="T136" s="16" t="s">
        <v>446</v>
      </c>
      <c r="U136" s="16" t="s">
        <v>93</v>
      </c>
      <c r="V136" s="16" t="s">
        <v>450</v>
      </c>
      <c r="W136" s="16" t="s">
        <v>452</v>
      </c>
    </row>
    <row r="137" spans="1:23" x14ac:dyDescent="0.2">
      <c r="A137" s="9" t="s">
        <v>1091</v>
      </c>
      <c r="B137" s="9">
        <f ca="1">+IF(A137=WORLDCUP!$BI$112,1,0)</f>
        <v>0</v>
      </c>
      <c r="C137" s="9" t="str">
        <f ca="1">+WORLDCUP!BD62</f>
        <v>Ivory Coast</v>
      </c>
      <c r="D137" s="9" t="str">
        <f ca="1">+WORLDCUP!BD64</f>
        <v>Iran</v>
      </c>
      <c r="E137" s="9" t="str">
        <f ca="1">+WORLDCUP!BD59</f>
        <v>Qatar</v>
      </c>
      <c r="F137" s="9" t="str">
        <f ca="1">+WORLDCUP!BD60</f>
        <v>Haiti</v>
      </c>
      <c r="G137" s="9" t="str">
        <f ca="1">+WORLDCUP!BD67</f>
        <v>Austria</v>
      </c>
      <c r="H137" s="9" t="str">
        <f ca="1">+WORLDCUP!BD61</f>
        <v>Australia</v>
      </c>
      <c r="I137" s="9" t="str">
        <f ca="1">+WORLDCUP!BD69</f>
        <v>Ghana</v>
      </c>
      <c r="J137" s="9" t="str">
        <f ca="1">+WORLDCUP!BD68</f>
        <v>Uzbekistan</v>
      </c>
      <c r="N137" s="16" t="s">
        <v>1091</v>
      </c>
      <c r="O137" s="16">
        <v>136</v>
      </c>
      <c r="P137" s="16" t="s">
        <v>94</v>
      </c>
      <c r="Q137" s="16" t="s">
        <v>445</v>
      </c>
      <c r="R137" s="16" t="s">
        <v>91</v>
      </c>
      <c r="S137" s="16" t="s">
        <v>92</v>
      </c>
      <c r="T137" s="16" t="s">
        <v>451</v>
      </c>
      <c r="U137" s="16" t="s">
        <v>93</v>
      </c>
      <c r="V137" s="16" t="s">
        <v>453</v>
      </c>
      <c r="W137" s="16" t="s">
        <v>452</v>
      </c>
    </row>
    <row r="138" spans="1:23" x14ac:dyDescent="0.2">
      <c r="A138" s="9" t="s">
        <v>1090</v>
      </c>
      <c r="B138" s="9">
        <f ca="1">+IF(A138=WORLDCUP!$BI$112,1,0)</f>
        <v>0</v>
      </c>
      <c r="C138" s="9" t="str">
        <f ca="1">+WORLDCUP!BD62</f>
        <v>Ivory Coast</v>
      </c>
      <c r="D138" s="9" t="str">
        <f ca="1">+WORLDCUP!BD64</f>
        <v>Iran</v>
      </c>
      <c r="E138" s="9" t="str">
        <f ca="1">+WORLDCUP!BD59</f>
        <v>Qatar</v>
      </c>
      <c r="F138" s="9" t="str">
        <f ca="1">+WORLDCUP!BD60</f>
        <v>Haiti</v>
      </c>
      <c r="G138" s="9" t="str">
        <f ca="1">+WORLDCUP!BD66</f>
        <v>Iraq</v>
      </c>
      <c r="H138" s="9" t="str">
        <f ca="1">+WORLDCUP!BD61</f>
        <v>Australia</v>
      </c>
      <c r="I138" s="9" t="str">
        <f ca="1">+WORLDCUP!BD69</f>
        <v>Ghana</v>
      </c>
      <c r="J138" s="9" t="str">
        <f ca="1">+WORLDCUP!BD68</f>
        <v>Uzbekistan</v>
      </c>
      <c r="N138" s="16" t="s">
        <v>1090</v>
      </c>
      <c r="O138" s="16">
        <v>137</v>
      </c>
      <c r="P138" s="16" t="s">
        <v>94</v>
      </c>
      <c r="Q138" s="16" t="s">
        <v>445</v>
      </c>
      <c r="R138" s="16" t="s">
        <v>91</v>
      </c>
      <c r="S138" s="16" t="s">
        <v>92</v>
      </c>
      <c r="T138" s="16" t="s">
        <v>450</v>
      </c>
      <c r="U138" s="16" t="s">
        <v>93</v>
      </c>
      <c r="V138" s="16" t="s">
        <v>453</v>
      </c>
      <c r="W138" s="16" t="s">
        <v>452</v>
      </c>
    </row>
    <row r="139" spans="1:23" x14ac:dyDescent="0.2">
      <c r="A139" s="9" t="s">
        <v>1089</v>
      </c>
      <c r="B139" s="9">
        <f ca="1">+IF(A139=WORLDCUP!$BI$112,1,0)</f>
        <v>0</v>
      </c>
      <c r="C139" s="9" t="str">
        <f ca="1">+WORLDCUP!BD62</f>
        <v>Ivory Coast</v>
      </c>
      <c r="D139" s="9" t="str">
        <f ca="1">+WORLDCUP!BD64</f>
        <v>Iran</v>
      </c>
      <c r="E139" s="9" t="str">
        <f ca="1">+WORLDCUP!BD59</f>
        <v>Qatar</v>
      </c>
      <c r="F139" s="9" t="str">
        <f ca="1">+WORLDCUP!BD60</f>
        <v>Haiti</v>
      </c>
      <c r="G139" s="9" t="str">
        <f ca="1">+WORLDCUP!BD67</f>
        <v>Austria</v>
      </c>
      <c r="H139" s="9" t="str">
        <f ca="1">+WORLDCUP!BD61</f>
        <v>Australia</v>
      </c>
      <c r="I139" s="9" t="str">
        <f ca="1">+WORLDCUP!BD69</f>
        <v>Ghana</v>
      </c>
      <c r="J139" s="9" t="str">
        <f ca="1">+WORLDCUP!BD66</f>
        <v>Iraq</v>
      </c>
      <c r="N139" s="16" t="s">
        <v>1089</v>
      </c>
      <c r="O139" s="16">
        <v>138</v>
      </c>
      <c r="P139" s="16" t="s">
        <v>94</v>
      </c>
      <c r="Q139" s="16" t="s">
        <v>445</v>
      </c>
      <c r="R139" s="16" t="s">
        <v>91</v>
      </c>
      <c r="S139" s="16" t="s">
        <v>92</v>
      </c>
      <c r="T139" s="16" t="s">
        <v>451</v>
      </c>
      <c r="U139" s="16" t="s">
        <v>93</v>
      </c>
      <c r="V139" s="16" t="s">
        <v>453</v>
      </c>
      <c r="W139" s="16" t="s">
        <v>450</v>
      </c>
    </row>
    <row r="140" spans="1:23" x14ac:dyDescent="0.2">
      <c r="A140" s="9" t="s">
        <v>1088</v>
      </c>
      <c r="B140" s="9">
        <f ca="1">+IF(A140=WORLDCUP!$BI$112,1,0)</f>
        <v>0</v>
      </c>
      <c r="C140" s="9" t="str">
        <f ca="1">+WORLDCUP!BD62</f>
        <v>Ivory Coast</v>
      </c>
      <c r="D140" s="9" t="str">
        <f ca="1">+WORLDCUP!BD64</f>
        <v>Iran</v>
      </c>
      <c r="E140" s="9" t="str">
        <f ca="1">+WORLDCUP!BD59</f>
        <v>Qatar</v>
      </c>
      <c r="F140" s="9" t="str">
        <f ca="1">+WORLDCUP!BD60</f>
        <v>Haiti</v>
      </c>
      <c r="G140" s="9" t="str">
        <f ca="1">+WORLDCUP!BD67</f>
        <v>Austria</v>
      </c>
      <c r="H140" s="9" t="str">
        <f ca="1">+WORLDCUP!BD61</f>
        <v>Australia</v>
      </c>
      <c r="I140" s="9" t="str">
        <f ca="1">+WORLDCUP!BD66</f>
        <v>Iraq</v>
      </c>
      <c r="J140" s="9" t="str">
        <f ca="1">+WORLDCUP!BD68</f>
        <v>Uzbekistan</v>
      </c>
      <c r="N140" s="16" t="s">
        <v>1088</v>
      </c>
      <c r="O140" s="16">
        <v>139</v>
      </c>
      <c r="P140" s="16" t="s">
        <v>94</v>
      </c>
      <c r="Q140" s="16" t="s">
        <v>445</v>
      </c>
      <c r="R140" s="16" t="s">
        <v>91</v>
      </c>
      <c r="S140" s="16" t="s">
        <v>92</v>
      </c>
      <c r="T140" s="16" t="s">
        <v>451</v>
      </c>
      <c r="U140" s="16" t="s">
        <v>93</v>
      </c>
      <c r="V140" s="16" t="s">
        <v>450</v>
      </c>
      <c r="W140" s="16" t="s">
        <v>452</v>
      </c>
    </row>
    <row r="141" spans="1:23" x14ac:dyDescent="0.2">
      <c r="A141" s="9" t="s">
        <v>1087</v>
      </c>
      <c r="B141" s="9">
        <f ca="1">+IF(A141=WORLDCUP!$BI$112,1,0)</f>
        <v>0</v>
      </c>
      <c r="C141" s="9" t="str">
        <f ca="1">+WORLDCUP!BD62</f>
        <v>Ivory Coast</v>
      </c>
      <c r="D141" s="9" t="str">
        <f ca="1">+WORLDCUP!BD64</f>
        <v>Iran</v>
      </c>
      <c r="E141" s="9" t="str">
        <f ca="1">+WORLDCUP!BD59</f>
        <v>Qatar</v>
      </c>
      <c r="F141" s="9" t="str">
        <f ca="1">+WORLDCUP!BD60</f>
        <v>Haiti</v>
      </c>
      <c r="G141" s="9" t="str">
        <f ca="1">+WORLDCUP!BD65</f>
        <v>Saudi Arabia</v>
      </c>
      <c r="H141" s="9" t="str">
        <f ca="1">+WORLDCUP!BD61</f>
        <v>Australia</v>
      </c>
      <c r="I141" s="9" t="str">
        <f ca="1">+WORLDCUP!BD69</f>
        <v>Ghana</v>
      </c>
      <c r="J141" s="9" t="str">
        <f ca="1">+WORLDCUP!BD68</f>
        <v>Uzbekistan</v>
      </c>
      <c r="N141" s="16" t="s">
        <v>1087</v>
      </c>
      <c r="O141" s="16">
        <v>140</v>
      </c>
      <c r="P141" s="16" t="s">
        <v>94</v>
      </c>
      <c r="Q141" s="16" t="s">
        <v>445</v>
      </c>
      <c r="R141" s="16" t="s">
        <v>91</v>
      </c>
      <c r="S141" s="16" t="s">
        <v>92</v>
      </c>
      <c r="T141" s="16" t="s">
        <v>446</v>
      </c>
      <c r="U141" s="16" t="s">
        <v>93</v>
      </c>
      <c r="V141" s="16" t="s">
        <v>453</v>
      </c>
      <c r="W141" s="16" t="s">
        <v>452</v>
      </c>
    </row>
    <row r="142" spans="1:23" x14ac:dyDescent="0.2">
      <c r="A142" s="9" t="s">
        <v>1086</v>
      </c>
      <c r="B142" s="9">
        <f ca="1">+IF(A142=WORLDCUP!$BI$112,1,0)</f>
        <v>0</v>
      </c>
      <c r="C142" s="9" t="str">
        <f ca="1">+WORLDCUP!BD65</f>
        <v>Saudi Arabia</v>
      </c>
      <c r="D142" s="9" t="str">
        <f ca="1">+WORLDCUP!BD64</f>
        <v>Iran</v>
      </c>
      <c r="E142" s="9" t="str">
        <f ca="1">+WORLDCUP!BD59</f>
        <v>Qatar</v>
      </c>
      <c r="F142" s="9" t="str">
        <f ca="1">+WORLDCUP!BD60</f>
        <v>Haiti</v>
      </c>
      <c r="G142" s="9" t="str">
        <f ca="1">+WORLDCUP!BD67</f>
        <v>Austria</v>
      </c>
      <c r="H142" s="9" t="str">
        <f ca="1">+WORLDCUP!BD61</f>
        <v>Australia</v>
      </c>
      <c r="I142" s="9" t="str">
        <f ca="1">+WORLDCUP!BD69</f>
        <v>Ghana</v>
      </c>
      <c r="J142" s="9" t="str">
        <f ca="1">+WORLDCUP!BD62</f>
        <v>Ivory Coast</v>
      </c>
      <c r="N142" s="16" t="s">
        <v>1086</v>
      </c>
      <c r="O142" s="16">
        <v>141</v>
      </c>
      <c r="P142" s="16" t="s">
        <v>446</v>
      </c>
      <c r="Q142" s="16" t="s">
        <v>445</v>
      </c>
      <c r="R142" s="16" t="s">
        <v>91</v>
      </c>
      <c r="S142" s="16" t="s">
        <v>92</v>
      </c>
      <c r="T142" s="16" t="s">
        <v>451</v>
      </c>
      <c r="U142" s="16" t="s">
        <v>93</v>
      </c>
      <c r="V142" s="16" t="s">
        <v>453</v>
      </c>
      <c r="W142" s="16" t="s">
        <v>94</v>
      </c>
    </row>
    <row r="143" spans="1:23" x14ac:dyDescent="0.2">
      <c r="A143" s="9" t="s">
        <v>1085</v>
      </c>
      <c r="B143" s="9">
        <f ca="1">+IF(A143=WORLDCUP!$BI$112,1,0)</f>
        <v>0</v>
      </c>
      <c r="C143" s="9" t="str">
        <f ca="1">+WORLDCUP!BD65</f>
        <v>Saudi Arabia</v>
      </c>
      <c r="D143" s="9" t="str">
        <f ca="1">+WORLDCUP!BD64</f>
        <v>Iran</v>
      </c>
      <c r="E143" s="9" t="str">
        <f ca="1">+WORLDCUP!BD59</f>
        <v>Qatar</v>
      </c>
      <c r="F143" s="9" t="str">
        <f ca="1">+WORLDCUP!BD60</f>
        <v>Haiti</v>
      </c>
      <c r="G143" s="9" t="str">
        <f ca="1">+WORLDCUP!BD67</f>
        <v>Austria</v>
      </c>
      <c r="H143" s="9" t="str">
        <f ca="1">+WORLDCUP!BD61</f>
        <v>Australia</v>
      </c>
      <c r="I143" s="9" t="str">
        <f ca="1">+WORLDCUP!BD62</f>
        <v>Ivory Coast</v>
      </c>
      <c r="J143" s="9" t="str">
        <f ca="1">+WORLDCUP!BD68</f>
        <v>Uzbekistan</v>
      </c>
      <c r="N143" s="16" t="s">
        <v>1085</v>
      </c>
      <c r="O143" s="16">
        <v>142</v>
      </c>
      <c r="P143" s="16" t="s">
        <v>446</v>
      </c>
      <c r="Q143" s="16" t="s">
        <v>445</v>
      </c>
      <c r="R143" s="16" t="s">
        <v>91</v>
      </c>
      <c r="S143" s="16" t="s">
        <v>92</v>
      </c>
      <c r="T143" s="16" t="s">
        <v>451</v>
      </c>
      <c r="U143" s="16" t="s">
        <v>93</v>
      </c>
      <c r="V143" s="16" t="s">
        <v>94</v>
      </c>
      <c r="W143" s="16" t="s">
        <v>452</v>
      </c>
    </row>
    <row r="144" spans="1:23" x14ac:dyDescent="0.2">
      <c r="A144" s="9" t="s">
        <v>1084</v>
      </c>
      <c r="B144" s="9">
        <f ca="1">+IF(A144=WORLDCUP!$BI$112,1,0)</f>
        <v>0</v>
      </c>
      <c r="C144" s="9" t="str">
        <f ca="1">+WORLDCUP!BD62</f>
        <v>Ivory Coast</v>
      </c>
      <c r="D144" s="9" t="str">
        <f ca="1">+WORLDCUP!BD64</f>
        <v>Iran</v>
      </c>
      <c r="E144" s="9" t="str">
        <f ca="1">+WORLDCUP!BD59</f>
        <v>Qatar</v>
      </c>
      <c r="F144" s="9" t="str">
        <f ca="1">+WORLDCUP!BD60</f>
        <v>Haiti</v>
      </c>
      <c r="G144" s="9" t="str">
        <f ca="1">+WORLDCUP!BD65</f>
        <v>Saudi Arabia</v>
      </c>
      <c r="H144" s="9" t="str">
        <f ca="1">+WORLDCUP!BD61</f>
        <v>Australia</v>
      </c>
      <c r="I144" s="9" t="str">
        <f ca="1">+WORLDCUP!BD69</f>
        <v>Ghana</v>
      </c>
      <c r="J144" s="9" t="str">
        <f ca="1">+WORLDCUP!BD66</f>
        <v>Iraq</v>
      </c>
      <c r="N144" s="16" t="s">
        <v>1084</v>
      </c>
      <c r="O144" s="16">
        <v>143</v>
      </c>
      <c r="P144" s="16" t="s">
        <v>94</v>
      </c>
      <c r="Q144" s="16" t="s">
        <v>445</v>
      </c>
      <c r="R144" s="16" t="s">
        <v>91</v>
      </c>
      <c r="S144" s="16" t="s">
        <v>92</v>
      </c>
      <c r="T144" s="16" t="s">
        <v>446</v>
      </c>
      <c r="U144" s="16" t="s">
        <v>93</v>
      </c>
      <c r="V144" s="16" t="s">
        <v>453</v>
      </c>
      <c r="W144" s="16" t="s">
        <v>450</v>
      </c>
    </row>
    <row r="145" spans="1:23" x14ac:dyDescent="0.2">
      <c r="A145" s="9" t="s">
        <v>1083</v>
      </c>
      <c r="B145" s="9">
        <f ca="1">+IF(A145=WORLDCUP!$BI$112,1,0)</f>
        <v>0</v>
      </c>
      <c r="C145" s="9" t="str">
        <f ca="1">+WORLDCUP!BD62</f>
        <v>Ivory Coast</v>
      </c>
      <c r="D145" s="9" t="str">
        <f ca="1">+WORLDCUP!BD64</f>
        <v>Iran</v>
      </c>
      <c r="E145" s="9" t="str">
        <f ca="1">+WORLDCUP!BD59</f>
        <v>Qatar</v>
      </c>
      <c r="F145" s="9" t="str">
        <f ca="1">+WORLDCUP!BD60</f>
        <v>Haiti</v>
      </c>
      <c r="G145" s="9" t="str">
        <f ca="1">+WORLDCUP!BD65</f>
        <v>Saudi Arabia</v>
      </c>
      <c r="H145" s="9" t="str">
        <f ca="1">+WORLDCUP!BD61</f>
        <v>Australia</v>
      </c>
      <c r="I145" s="9" t="str">
        <f ca="1">+WORLDCUP!BD66</f>
        <v>Iraq</v>
      </c>
      <c r="J145" s="9" t="str">
        <f ca="1">+WORLDCUP!BD68</f>
        <v>Uzbekistan</v>
      </c>
      <c r="N145" s="16" t="s">
        <v>1083</v>
      </c>
      <c r="O145" s="16">
        <v>144</v>
      </c>
      <c r="P145" s="16" t="s">
        <v>94</v>
      </c>
      <c r="Q145" s="16" t="s">
        <v>445</v>
      </c>
      <c r="R145" s="16" t="s">
        <v>91</v>
      </c>
      <c r="S145" s="16" t="s">
        <v>92</v>
      </c>
      <c r="T145" s="16" t="s">
        <v>446</v>
      </c>
      <c r="U145" s="16" t="s">
        <v>93</v>
      </c>
      <c r="V145" s="16" t="s">
        <v>450</v>
      </c>
      <c r="W145" s="16" t="s">
        <v>452</v>
      </c>
    </row>
    <row r="146" spans="1:23" x14ac:dyDescent="0.2">
      <c r="A146" s="9" t="s">
        <v>1082</v>
      </c>
      <c r="B146" s="9">
        <f ca="1">+IF(A146=WORLDCUP!$BI$112,1,0)</f>
        <v>0</v>
      </c>
      <c r="C146" s="9" t="str">
        <f ca="1">+WORLDCUP!BD65</f>
        <v>Saudi Arabia</v>
      </c>
      <c r="D146" s="9" t="str">
        <f ca="1">+WORLDCUP!BD64</f>
        <v>Iran</v>
      </c>
      <c r="E146" s="9" t="str">
        <f ca="1">+WORLDCUP!BD59</f>
        <v>Qatar</v>
      </c>
      <c r="F146" s="9" t="str">
        <f ca="1">+WORLDCUP!BD60</f>
        <v>Haiti</v>
      </c>
      <c r="G146" s="9" t="str">
        <f ca="1">+WORLDCUP!BD67</f>
        <v>Austria</v>
      </c>
      <c r="H146" s="9" t="str">
        <f ca="1">+WORLDCUP!BD61</f>
        <v>Australia</v>
      </c>
      <c r="I146" s="9" t="str">
        <f ca="1">+WORLDCUP!BD62</f>
        <v>Ivory Coast</v>
      </c>
      <c r="J146" s="9" t="str">
        <f ca="1">+WORLDCUP!BD66</f>
        <v>Iraq</v>
      </c>
      <c r="N146" s="16" t="s">
        <v>1082</v>
      </c>
      <c r="O146" s="16">
        <v>145</v>
      </c>
      <c r="P146" s="16" t="s">
        <v>446</v>
      </c>
      <c r="Q146" s="16" t="s">
        <v>445</v>
      </c>
      <c r="R146" s="16" t="s">
        <v>91</v>
      </c>
      <c r="S146" s="16" t="s">
        <v>92</v>
      </c>
      <c r="T146" s="16" t="s">
        <v>451</v>
      </c>
      <c r="U146" s="16" t="s">
        <v>93</v>
      </c>
      <c r="V146" s="16" t="s">
        <v>94</v>
      </c>
      <c r="W146" s="16" t="s">
        <v>450</v>
      </c>
    </row>
    <row r="147" spans="1:23" x14ac:dyDescent="0.2">
      <c r="A147" s="9" t="s">
        <v>1081</v>
      </c>
      <c r="B147" s="9">
        <f ca="1">+IF(A147=WORLDCUP!$BI$112,1,0)</f>
        <v>0</v>
      </c>
      <c r="C147" s="9" t="str">
        <f ca="1">+WORLDCUP!BD60</f>
        <v>Haiti</v>
      </c>
      <c r="D147" s="9" t="str">
        <f ca="1">+WORLDCUP!BD67</f>
        <v>Austria</v>
      </c>
      <c r="E147" s="9" t="str">
        <f ca="1">+WORLDCUP!BD59</f>
        <v>Qatar</v>
      </c>
      <c r="F147" s="9" t="str">
        <f ca="1">+WORLDCUP!BD61</f>
        <v>Australia</v>
      </c>
      <c r="G147" s="9" t="str">
        <f ca="1">+WORLDCUP!BD62</f>
        <v>Ivory Coast</v>
      </c>
      <c r="H147" s="9" t="str">
        <f ca="1">+WORLDCUP!BD63</f>
        <v>Sweden</v>
      </c>
      <c r="I147" s="9" t="str">
        <f ca="1">+WORLDCUP!BD69</f>
        <v>Ghana</v>
      </c>
      <c r="J147" s="9" t="str">
        <f ca="1">+WORLDCUP!BD68</f>
        <v>Uzbekistan</v>
      </c>
      <c r="N147" s="16" t="s">
        <v>1081</v>
      </c>
      <c r="O147" s="16">
        <v>146</v>
      </c>
      <c r="P147" s="16" t="s">
        <v>92</v>
      </c>
      <c r="Q147" s="16" t="s">
        <v>451</v>
      </c>
      <c r="R147" s="16" t="s">
        <v>91</v>
      </c>
      <c r="S147" s="16" t="s">
        <v>93</v>
      </c>
      <c r="T147" s="16" t="s">
        <v>94</v>
      </c>
      <c r="U147" s="16" t="s">
        <v>95</v>
      </c>
      <c r="V147" s="16" t="s">
        <v>453</v>
      </c>
      <c r="W147" s="16" t="s">
        <v>452</v>
      </c>
    </row>
    <row r="148" spans="1:23" x14ac:dyDescent="0.2">
      <c r="A148" s="9" t="s">
        <v>1080</v>
      </c>
      <c r="B148" s="9">
        <f ca="1">+IF(A148=WORLDCUP!$BI$112,1,0)</f>
        <v>0</v>
      </c>
      <c r="C148" s="9" t="str">
        <f ca="1">+WORLDCUP!BD60</f>
        <v>Haiti</v>
      </c>
      <c r="D148" s="9" t="str">
        <f ca="1">+WORLDCUP!BD62</f>
        <v>Ivory Coast</v>
      </c>
      <c r="E148" s="9" t="str">
        <f ca="1">+WORLDCUP!BD59</f>
        <v>Qatar</v>
      </c>
      <c r="F148" s="9" t="str">
        <f ca="1">+WORLDCUP!BD61</f>
        <v>Australia</v>
      </c>
      <c r="G148" s="9" t="str">
        <f ca="1">+WORLDCUP!BD66</f>
        <v>Iraq</v>
      </c>
      <c r="H148" s="9" t="str">
        <f ca="1">+WORLDCUP!BD63</f>
        <v>Sweden</v>
      </c>
      <c r="I148" s="9" t="str">
        <f ca="1">+WORLDCUP!BD69</f>
        <v>Ghana</v>
      </c>
      <c r="J148" s="9" t="str">
        <f ca="1">+WORLDCUP!BD68</f>
        <v>Uzbekistan</v>
      </c>
      <c r="N148" s="16" t="s">
        <v>1080</v>
      </c>
      <c r="O148" s="16">
        <v>147</v>
      </c>
      <c r="P148" s="16" t="s">
        <v>92</v>
      </c>
      <c r="Q148" s="16" t="s">
        <v>94</v>
      </c>
      <c r="R148" s="16" t="s">
        <v>91</v>
      </c>
      <c r="S148" s="16" t="s">
        <v>93</v>
      </c>
      <c r="T148" s="16" t="s">
        <v>450</v>
      </c>
      <c r="U148" s="16" t="s">
        <v>95</v>
      </c>
      <c r="V148" s="16" t="s">
        <v>453</v>
      </c>
      <c r="W148" s="16" t="s">
        <v>452</v>
      </c>
    </row>
    <row r="149" spans="1:23" x14ac:dyDescent="0.2">
      <c r="A149" s="9" t="s">
        <v>1079</v>
      </c>
      <c r="B149" s="9">
        <f ca="1">+IF(A149=WORLDCUP!$BI$112,1,0)</f>
        <v>0</v>
      </c>
      <c r="C149" s="9" t="str">
        <f ca="1">+WORLDCUP!BD60</f>
        <v>Haiti</v>
      </c>
      <c r="D149" s="9" t="str">
        <f ca="1">+WORLDCUP!BD67</f>
        <v>Austria</v>
      </c>
      <c r="E149" s="9" t="str">
        <f ca="1">+WORLDCUP!BD59</f>
        <v>Qatar</v>
      </c>
      <c r="F149" s="9" t="str">
        <f ca="1">+WORLDCUP!BD61</f>
        <v>Australia</v>
      </c>
      <c r="G149" s="9" t="str">
        <f ca="1">+WORLDCUP!BD62</f>
        <v>Ivory Coast</v>
      </c>
      <c r="H149" s="9" t="str">
        <f ca="1">+WORLDCUP!BD63</f>
        <v>Sweden</v>
      </c>
      <c r="I149" s="9" t="str">
        <f ca="1">+WORLDCUP!BD69</f>
        <v>Ghana</v>
      </c>
      <c r="J149" s="9" t="str">
        <f ca="1">+WORLDCUP!BD66</f>
        <v>Iraq</v>
      </c>
      <c r="N149" s="16" t="s">
        <v>1079</v>
      </c>
      <c r="O149" s="16">
        <v>148</v>
      </c>
      <c r="P149" s="16" t="s">
        <v>92</v>
      </c>
      <c r="Q149" s="16" t="s">
        <v>451</v>
      </c>
      <c r="R149" s="16" t="s">
        <v>91</v>
      </c>
      <c r="S149" s="16" t="s">
        <v>93</v>
      </c>
      <c r="T149" s="16" t="s">
        <v>94</v>
      </c>
      <c r="U149" s="16" t="s">
        <v>95</v>
      </c>
      <c r="V149" s="16" t="s">
        <v>453</v>
      </c>
      <c r="W149" s="16" t="s">
        <v>450</v>
      </c>
    </row>
    <row r="150" spans="1:23" x14ac:dyDescent="0.2">
      <c r="A150" s="9" t="s">
        <v>1078</v>
      </c>
      <c r="B150" s="9">
        <f ca="1">+IF(A150=WORLDCUP!$BI$112,1,0)</f>
        <v>0</v>
      </c>
      <c r="C150" s="9" t="str">
        <f ca="1">+WORLDCUP!BD60</f>
        <v>Haiti</v>
      </c>
      <c r="D150" s="9" t="str">
        <f ca="1">+WORLDCUP!BD67</f>
        <v>Austria</v>
      </c>
      <c r="E150" s="9" t="str">
        <f ca="1">+WORLDCUP!BD59</f>
        <v>Qatar</v>
      </c>
      <c r="F150" s="9" t="str">
        <f ca="1">+WORLDCUP!BD61</f>
        <v>Australia</v>
      </c>
      <c r="G150" s="9" t="str">
        <f ca="1">+WORLDCUP!BD62</f>
        <v>Ivory Coast</v>
      </c>
      <c r="H150" s="9" t="str">
        <f ca="1">+WORLDCUP!BD63</f>
        <v>Sweden</v>
      </c>
      <c r="I150" s="9" t="str">
        <f ca="1">+WORLDCUP!BD66</f>
        <v>Iraq</v>
      </c>
      <c r="J150" s="9" t="str">
        <f ca="1">+WORLDCUP!BD68</f>
        <v>Uzbekistan</v>
      </c>
      <c r="N150" s="16" t="s">
        <v>1078</v>
      </c>
      <c r="O150" s="16">
        <v>149</v>
      </c>
      <c r="P150" s="16" t="s">
        <v>92</v>
      </c>
      <c r="Q150" s="16" t="s">
        <v>451</v>
      </c>
      <c r="R150" s="16" t="s">
        <v>91</v>
      </c>
      <c r="S150" s="16" t="s">
        <v>93</v>
      </c>
      <c r="T150" s="16" t="s">
        <v>94</v>
      </c>
      <c r="U150" s="16" t="s">
        <v>95</v>
      </c>
      <c r="V150" s="16" t="s">
        <v>450</v>
      </c>
      <c r="W150" s="16" t="s">
        <v>452</v>
      </c>
    </row>
    <row r="151" spans="1:23" x14ac:dyDescent="0.2">
      <c r="A151" s="9" t="s">
        <v>1077</v>
      </c>
      <c r="B151" s="9">
        <f ca="1">+IF(A151=WORLDCUP!$BI$112,1,0)</f>
        <v>0</v>
      </c>
      <c r="C151" s="9" t="str">
        <f ca="1">+WORLDCUP!BD60</f>
        <v>Haiti</v>
      </c>
      <c r="D151" s="9" t="str">
        <f ca="1">+WORLDCUP!BD62</f>
        <v>Ivory Coast</v>
      </c>
      <c r="E151" s="9" t="str">
        <f ca="1">+WORLDCUP!BD59</f>
        <v>Qatar</v>
      </c>
      <c r="F151" s="9" t="str">
        <f ca="1">+WORLDCUP!BD61</f>
        <v>Australia</v>
      </c>
      <c r="G151" s="9" t="str">
        <f ca="1">+WORLDCUP!BD65</f>
        <v>Saudi Arabia</v>
      </c>
      <c r="H151" s="9" t="str">
        <f ca="1">+WORLDCUP!BD63</f>
        <v>Sweden</v>
      </c>
      <c r="I151" s="9" t="str">
        <f ca="1">+WORLDCUP!BD69</f>
        <v>Ghana</v>
      </c>
      <c r="J151" s="9" t="str">
        <f ca="1">+WORLDCUP!BD68</f>
        <v>Uzbekistan</v>
      </c>
      <c r="N151" s="16" t="s">
        <v>1077</v>
      </c>
      <c r="O151" s="16">
        <v>150</v>
      </c>
      <c r="P151" s="16" t="s">
        <v>92</v>
      </c>
      <c r="Q151" s="16" t="s">
        <v>94</v>
      </c>
      <c r="R151" s="16" t="s">
        <v>91</v>
      </c>
      <c r="S151" s="16" t="s">
        <v>93</v>
      </c>
      <c r="T151" s="16" t="s">
        <v>446</v>
      </c>
      <c r="U151" s="16" t="s">
        <v>95</v>
      </c>
      <c r="V151" s="16" t="s">
        <v>453</v>
      </c>
      <c r="W151" s="16" t="s">
        <v>452</v>
      </c>
    </row>
    <row r="152" spans="1:23" x14ac:dyDescent="0.2">
      <c r="A152" s="9" t="s">
        <v>1076</v>
      </c>
      <c r="B152" s="9">
        <f ca="1">+IF(A152=WORLDCUP!$BI$112,1,0)</f>
        <v>0</v>
      </c>
      <c r="C152" s="9" t="str">
        <f ca="1">+WORLDCUP!BD60</f>
        <v>Haiti</v>
      </c>
      <c r="D152" s="9" t="str">
        <f ca="1">+WORLDCUP!BD67</f>
        <v>Austria</v>
      </c>
      <c r="E152" s="9" t="str">
        <f ca="1">+WORLDCUP!BD59</f>
        <v>Qatar</v>
      </c>
      <c r="F152" s="9" t="str">
        <f ca="1">+WORLDCUP!BD61</f>
        <v>Australia</v>
      </c>
      <c r="G152" s="9" t="str">
        <f ca="1">+WORLDCUP!BD65</f>
        <v>Saudi Arabia</v>
      </c>
      <c r="H152" s="9" t="str">
        <f ca="1">+WORLDCUP!BD63</f>
        <v>Sweden</v>
      </c>
      <c r="I152" s="9" t="str">
        <f ca="1">+WORLDCUP!BD69</f>
        <v>Ghana</v>
      </c>
      <c r="J152" s="9" t="str">
        <f ca="1">+WORLDCUP!BD62</f>
        <v>Ivory Coast</v>
      </c>
      <c r="N152" s="16" t="s">
        <v>1076</v>
      </c>
      <c r="O152" s="16">
        <v>151</v>
      </c>
      <c r="P152" s="16" t="s">
        <v>92</v>
      </c>
      <c r="Q152" s="16" t="s">
        <v>451</v>
      </c>
      <c r="R152" s="16" t="s">
        <v>91</v>
      </c>
      <c r="S152" s="16" t="s">
        <v>93</v>
      </c>
      <c r="T152" s="16" t="s">
        <v>446</v>
      </c>
      <c r="U152" s="16" t="s">
        <v>95</v>
      </c>
      <c r="V152" s="16" t="s">
        <v>453</v>
      </c>
      <c r="W152" s="16" t="s">
        <v>94</v>
      </c>
    </row>
    <row r="153" spans="1:23" x14ac:dyDescent="0.2">
      <c r="A153" s="9" t="s">
        <v>1075</v>
      </c>
      <c r="B153" s="9">
        <f ca="1">+IF(A153=WORLDCUP!$BI$112,1,0)</f>
        <v>0</v>
      </c>
      <c r="C153" s="9" t="str">
        <f ca="1">+WORLDCUP!BD60</f>
        <v>Haiti</v>
      </c>
      <c r="D153" s="9" t="str">
        <f ca="1">+WORLDCUP!BD67</f>
        <v>Austria</v>
      </c>
      <c r="E153" s="9" t="str">
        <f ca="1">+WORLDCUP!BD59</f>
        <v>Qatar</v>
      </c>
      <c r="F153" s="9" t="str">
        <f ca="1">+WORLDCUP!BD61</f>
        <v>Australia</v>
      </c>
      <c r="G153" s="9" t="str">
        <f ca="1">+WORLDCUP!BD65</f>
        <v>Saudi Arabia</v>
      </c>
      <c r="H153" s="9" t="str">
        <f ca="1">+WORLDCUP!BD63</f>
        <v>Sweden</v>
      </c>
      <c r="I153" s="9" t="str">
        <f ca="1">+WORLDCUP!BD62</f>
        <v>Ivory Coast</v>
      </c>
      <c r="J153" s="9" t="str">
        <f ca="1">+WORLDCUP!BD68</f>
        <v>Uzbekistan</v>
      </c>
      <c r="N153" s="16" t="s">
        <v>1075</v>
      </c>
      <c r="O153" s="16">
        <v>152</v>
      </c>
      <c r="P153" s="16" t="s">
        <v>92</v>
      </c>
      <c r="Q153" s="16" t="s">
        <v>451</v>
      </c>
      <c r="R153" s="16" t="s">
        <v>91</v>
      </c>
      <c r="S153" s="16" t="s">
        <v>93</v>
      </c>
      <c r="T153" s="16" t="s">
        <v>446</v>
      </c>
      <c r="U153" s="16" t="s">
        <v>95</v>
      </c>
      <c r="V153" s="16" t="s">
        <v>94</v>
      </c>
      <c r="W153" s="16" t="s">
        <v>452</v>
      </c>
    </row>
    <row r="154" spans="1:23" x14ac:dyDescent="0.2">
      <c r="A154" s="9" t="s">
        <v>1074</v>
      </c>
      <c r="B154" s="9">
        <f ca="1">+IF(A154=WORLDCUP!$BI$112,1,0)</f>
        <v>0</v>
      </c>
      <c r="C154" s="9" t="str">
        <f ca="1">+WORLDCUP!BD60</f>
        <v>Haiti</v>
      </c>
      <c r="D154" s="9" t="str">
        <f ca="1">+WORLDCUP!BD62</f>
        <v>Ivory Coast</v>
      </c>
      <c r="E154" s="9" t="str">
        <f ca="1">+WORLDCUP!BD59</f>
        <v>Qatar</v>
      </c>
      <c r="F154" s="9" t="str">
        <f ca="1">+WORLDCUP!BD61</f>
        <v>Australia</v>
      </c>
      <c r="G154" s="9" t="str">
        <f ca="1">+WORLDCUP!BD65</f>
        <v>Saudi Arabia</v>
      </c>
      <c r="H154" s="9" t="str">
        <f ca="1">+WORLDCUP!BD63</f>
        <v>Sweden</v>
      </c>
      <c r="I154" s="9" t="str">
        <f ca="1">+WORLDCUP!BD69</f>
        <v>Ghana</v>
      </c>
      <c r="J154" s="9" t="str">
        <f ca="1">+WORLDCUP!BD66</f>
        <v>Iraq</v>
      </c>
      <c r="N154" s="16" t="s">
        <v>1074</v>
      </c>
      <c r="O154" s="16">
        <v>153</v>
      </c>
      <c r="P154" s="16" t="s">
        <v>92</v>
      </c>
      <c r="Q154" s="16" t="s">
        <v>94</v>
      </c>
      <c r="R154" s="16" t="s">
        <v>91</v>
      </c>
      <c r="S154" s="16" t="s">
        <v>93</v>
      </c>
      <c r="T154" s="16" t="s">
        <v>446</v>
      </c>
      <c r="U154" s="16" t="s">
        <v>95</v>
      </c>
      <c r="V154" s="16" t="s">
        <v>453</v>
      </c>
      <c r="W154" s="16" t="s">
        <v>450</v>
      </c>
    </row>
    <row r="155" spans="1:23" x14ac:dyDescent="0.2">
      <c r="A155" s="9" t="s">
        <v>1073</v>
      </c>
      <c r="B155" s="9">
        <f ca="1">+IF(A155=WORLDCUP!$BI$112,1,0)</f>
        <v>0</v>
      </c>
      <c r="C155" s="9" t="str">
        <f ca="1">+WORLDCUP!BD60</f>
        <v>Haiti</v>
      </c>
      <c r="D155" s="9" t="str">
        <f ca="1">+WORLDCUP!BD62</f>
        <v>Ivory Coast</v>
      </c>
      <c r="E155" s="9" t="str">
        <f ca="1">+WORLDCUP!BD59</f>
        <v>Qatar</v>
      </c>
      <c r="F155" s="9" t="str">
        <f ca="1">+WORLDCUP!BD61</f>
        <v>Australia</v>
      </c>
      <c r="G155" s="9" t="str">
        <f ca="1">+WORLDCUP!BD65</f>
        <v>Saudi Arabia</v>
      </c>
      <c r="H155" s="9" t="str">
        <f ca="1">+WORLDCUP!BD63</f>
        <v>Sweden</v>
      </c>
      <c r="I155" s="9" t="str">
        <f ca="1">+WORLDCUP!BD66</f>
        <v>Iraq</v>
      </c>
      <c r="J155" s="9" t="str">
        <f ca="1">+WORLDCUP!BD68</f>
        <v>Uzbekistan</v>
      </c>
      <c r="N155" s="16" t="s">
        <v>1073</v>
      </c>
      <c r="O155" s="16">
        <v>154</v>
      </c>
      <c r="P155" s="16" t="s">
        <v>92</v>
      </c>
      <c r="Q155" s="16" t="s">
        <v>94</v>
      </c>
      <c r="R155" s="16" t="s">
        <v>91</v>
      </c>
      <c r="S155" s="16" t="s">
        <v>93</v>
      </c>
      <c r="T155" s="16" t="s">
        <v>446</v>
      </c>
      <c r="U155" s="16" t="s">
        <v>95</v>
      </c>
      <c r="V155" s="16" t="s">
        <v>450</v>
      </c>
      <c r="W155" s="16" t="s">
        <v>452</v>
      </c>
    </row>
    <row r="156" spans="1:23" x14ac:dyDescent="0.2">
      <c r="A156" s="9" t="s">
        <v>1072</v>
      </c>
      <c r="B156" s="9">
        <f ca="1">+IF(A156=WORLDCUP!$BI$112,1,0)</f>
        <v>0</v>
      </c>
      <c r="C156" s="9" t="str">
        <f ca="1">+WORLDCUP!BD60</f>
        <v>Haiti</v>
      </c>
      <c r="D156" s="9" t="str">
        <f ca="1">+WORLDCUP!BD67</f>
        <v>Austria</v>
      </c>
      <c r="E156" s="9" t="str">
        <f ca="1">+WORLDCUP!BD59</f>
        <v>Qatar</v>
      </c>
      <c r="F156" s="9" t="str">
        <f ca="1">+WORLDCUP!BD61</f>
        <v>Australia</v>
      </c>
      <c r="G156" s="9" t="str">
        <f ca="1">+WORLDCUP!BD65</f>
        <v>Saudi Arabia</v>
      </c>
      <c r="H156" s="9" t="str">
        <f ca="1">+WORLDCUP!BD63</f>
        <v>Sweden</v>
      </c>
      <c r="I156" s="9" t="str">
        <f ca="1">+WORLDCUP!BD62</f>
        <v>Ivory Coast</v>
      </c>
      <c r="J156" s="9" t="str">
        <f ca="1">+WORLDCUP!BD66</f>
        <v>Iraq</v>
      </c>
      <c r="N156" s="16" t="s">
        <v>1072</v>
      </c>
      <c r="O156" s="16">
        <v>155</v>
      </c>
      <c r="P156" s="16" t="s">
        <v>92</v>
      </c>
      <c r="Q156" s="16" t="s">
        <v>451</v>
      </c>
      <c r="R156" s="16" t="s">
        <v>91</v>
      </c>
      <c r="S156" s="16" t="s">
        <v>93</v>
      </c>
      <c r="T156" s="16" t="s">
        <v>446</v>
      </c>
      <c r="U156" s="16" t="s">
        <v>95</v>
      </c>
      <c r="V156" s="16" t="s">
        <v>94</v>
      </c>
      <c r="W156" s="16" t="s">
        <v>450</v>
      </c>
    </row>
    <row r="157" spans="1:23" x14ac:dyDescent="0.2">
      <c r="A157" s="9" t="s">
        <v>485</v>
      </c>
      <c r="B157" s="9">
        <f ca="1">+IF(A157=WORLDCUP!$BI$112,1,0)</f>
        <v>0</v>
      </c>
      <c r="C157" s="9" t="str">
        <f ca="1">+WORLDCUP!BD60</f>
        <v>Haiti</v>
      </c>
      <c r="D157" s="9" t="str">
        <f ca="1">+WORLDCUP!BD64</f>
        <v>Iran</v>
      </c>
      <c r="E157" s="9" t="str">
        <f ca="1">+WORLDCUP!BD59</f>
        <v>Qatar</v>
      </c>
      <c r="F157" s="9" t="str">
        <f ca="1">+WORLDCUP!BD61</f>
        <v>Australia</v>
      </c>
      <c r="G157" s="9" t="str">
        <f ca="1">+WORLDCUP!BD62</f>
        <v>Ivory Coast</v>
      </c>
      <c r="H157" s="9" t="str">
        <f ca="1">+WORLDCUP!BD63</f>
        <v>Sweden</v>
      </c>
      <c r="I157" s="9" t="str">
        <f ca="1">+WORLDCUP!BD69</f>
        <v>Ghana</v>
      </c>
      <c r="J157" s="9" t="str">
        <f ca="1">+WORLDCUP!BD68</f>
        <v>Uzbekistan</v>
      </c>
      <c r="N157" s="16" t="s">
        <v>485</v>
      </c>
      <c r="O157" s="16">
        <v>156</v>
      </c>
      <c r="P157" s="16" t="s">
        <v>92</v>
      </c>
      <c r="Q157" s="16" t="s">
        <v>445</v>
      </c>
      <c r="R157" s="16" t="s">
        <v>91</v>
      </c>
      <c r="S157" s="16" t="s">
        <v>93</v>
      </c>
      <c r="T157" s="16" t="s">
        <v>94</v>
      </c>
      <c r="U157" s="16" t="s">
        <v>95</v>
      </c>
      <c r="V157" s="16" t="s">
        <v>453</v>
      </c>
      <c r="W157" s="16" t="s">
        <v>452</v>
      </c>
    </row>
    <row r="158" spans="1:23" x14ac:dyDescent="0.2">
      <c r="A158" s="9" t="s">
        <v>478</v>
      </c>
      <c r="B158" s="9">
        <f ca="1">+IF(A158=WORLDCUP!$BI$112,1,0)</f>
        <v>0</v>
      </c>
      <c r="C158" s="9" t="str">
        <f ca="1">+WORLDCUP!BD60</f>
        <v>Haiti</v>
      </c>
      <c r="D158" s="9" t="str">
        <f ca="1">+WORLDCUP!BD64</f>
        <v>Iran</v>
      </c>
      <c r="E158" s="9" t="str">
        <f ca="1">+WORLDCUP!BD59</f>
        <v>Qatar</v>
      </c>
      <c r="F158" s="9" t="str">
        <f ca="1">+WORLDCUP!BD61</f>
        <v>Australia</v>
      </c>
      <c r="G158" s="9" t="str">
        <f ca="1">+WORLDCUP!BD67</f>
        <v>Austria</v>
      </c>
      <c r="H158" s="9" t="str">
        <f ca="1">+WORLDCUP!BD63</f>
        <v>Sweden</v>
      </c>
      <c r="I158" s="9" t="str">
        <f ca="1">+WORLDCUP!BD69</f>
        <v>Ghana</v>
      </c>
      <c r="J158" s="9" t="str">
        <f ca="1">+WORLDCUP!BD62</f>
        <v>Ivory Coast</v>
      </c>
      <c r="N158" s="16" t="s">
        <v>478</v>
      </c>
      <c r="O158" s="16">
        <v>157</v>
      </c>
      <c r="P158" s="16" t="s">
        <v>92</v>
      </c>
      <c r="Q158" s="16" t="s">
        <v>445</v>
      </c>
      <c r="R158" s="16" t="s">
        <v>91</v>
      </c>
      <c r="S158" s="16" t="s">
        <v>93</v>
      </c>
      <c r="T158" s="16" t="s">
        <v>451</v>
      </c>
      <c r="U158" s="16" t="s">
        <v>95</v>
      </c>
      <c r="V158" s="16" t="s">
        <v>453</v>
      </c>
      <c r="W158" s="16" t="s">
        <v>94</v>
      </c>
    </row>
    <row r="159" spans="1:23" x14ac:dyDescent="0.2">
      <c r="A159" s="9" t="s">
        <v>477</v>
      </c>
      <c r="B159" s="9">
        <f ca="1">+IF(A159=WORLDCUP!$BI$112,1,0)</f>
        <v>0</v>
      </c>
      <c r="C159" s="9" t="str">
        <f ca="1">+WORLDCUP!BD60</f>
        <v>Haiti</v>
      </c>
      <c r="D159" s="9" t="str">
        <f ca="1">+WORLDCUP!BD64</f>
        <v>Iran</v>
      </c>
      <c r="E159" s="9" t="str">
        <f ca="1">+WORLDCUP!BD59</f>
        <v>Qatar</v>
      </c>
      <c r="F159" s="9" t="str">
        <f ca="1">+WORLDCUP!BD61</f>
        <v>Australia</v>
      </c>
      <c r="G159" s="9" t="str">
        <f ca="1">+WORLDCUP!BD67</f>
        <v>Austria</v>
      </c>
      <c r="H159" s="9" t="str">
        <f ca="1">+WORLDCUP!BD63</f>
        <v>Sweden</v>
      </c>
      <c r="I159" s="9" t="str">
        <f ca="1">+WORLDCUP!BD62</f>
        <v>Ivory Coast</v>
      </c>
      <c r="J159" s="9" t="str">
        <f ca="1">+WORLDCUP!BD68</f>
        <v>Uzbekistan</v>
      </c>
      <c r="N159" s="16" t="s">
        <v>477</v>
      </c>
      <c r="O159" s="16">
        <v>158</v>
      </c>
      <c r="P159" s="16" t="s">
        <v>92</v>
      </c>
      <c r="Q159" s="16" t="s">
        <v>445</v>
      </c>
      <c r="R159" s="16" t="s">
        <v>91</v>
      </c>
      <c r="S159" s="16" t="s">
        <v>93</v>
      </c>
      <c r="T159" s="16" t="s">
        <v>451</v>
      </c>
      <c r="U159" s="16" t="s">
        <v>95</v>
      </c>
      <c r="V159" s="16" t="s">
        <v>94</v>
      </c>
      <c r="W159" s="16" t="s">
        <v>452</v>
      </c>
    </row>
    <row r="160" spans="1:23" x14ac:dyDescent="0.2">
      <c r="A160" s="9" t="s">
        <v>476</v>
      </c>
      <c r="B160" s="9">
        <f ca="1">+IF(A160=WORLDCUP!$BI$112,1,0)</f>
        <v>0</v>
      </c>
      <c r="C160" s="9" t="str">
        <f ca="1">+WORLDCUP!BD60</f>
        <v>Haiti</v>
      </c>
      <c r="D160" s="9" t="str">
        <f ca="1">+WORLDCUP!BD64</f>
        <v>Iran</v>
      </c>
      <c r="E160" s="9" t="str">
        <f ca="1">+WORLDCUP!BD59</f>
        <v>Qatar</v>
      </c>
      <c r="F160" s="9" t="str">
        <f ca="1">+WORLDCUP!BD61</f>
        <v>Australia</v>
      </c>
      <c r="G160" s="9" t="str">
        <f ca="1">+WORLDCUP!BD62</f>
        <v>Ivory Coast</v>
      </c>
      <c r="H160" s="9" t="str">
        <f ca="1">+WORLDCUP!BD63</f>
        <v>Sweden</v>
      </c>
      <c r="I160" s="9" t="str">
        <f ca="1">+WORLDCUP!BD69</f>
        <v>Ghana</v>
      </c>
      <c r="J160" s="9" t="str">
        <f ca="1">+WORLDCUP!BD66</f>
        <v>Iraq</v>
      </c>
      <c r="N160" s="16" t="s">
        <v>476</v>
      </c>
      <c r="O160" s="16">
        <v>159</v>
      </c>
      <c r="P160" s="16" t="s">
        <v>92</v>
      </c>
      <c r="Q160" s="16" t="s">
        <v>445</v>
      </c>
      <c r="R160" s="16" t="s">
        <v>91</v>
      </c>
      <c r="S160" s="16" t="s">
        <v>93</v>
      </c>
      <c r="T160" s="16" t="s">
        <v>94</v>
      </c>
      <c r="U160" s="16" t="s">
        <v>95</v>
      </c>
      <c r="V160" s="16" t="s">
        <v>453</v>
      </c>
      <c r="W160" s="16" t="s">
        <v>450</v>
      </c>
    </row>
    <row r="161" spans="1:23" x14ac:dyDescent="0.2">
      <c r="A161" s="9" t="s">
        <v>475</v>
      </c>
      <c r="B161" s="9">
        <f ca="1">+IF(A161=WORLDCUP!$BI$112,1,0)</f>
        <v>0</v>
      </c>
      <c r="C161" s="9" t="str">
        <f ca="1">+WORLDCUP!BD60</f>
        <v>Haiti</v>
      </c>
      <c r="D161" s="9" t="str">
        <f ca="1">+WORLDCUP!BD64</f>
        <v>Iran</v>
      </c>
      <c r="E161" s="9" t="str">
        <f ca="1">+WORLDCUP!BD59</f>
        <v>Qatar</v>
      </c>
      <c r="F161" s="9" t="str">
        <f ca="1">+WORLDCUP!BD61</f>
        <v>Australia</v>
      </c>
      <c r="G161" s="9" t="str">
        <f ca="1">+WORLDCUP!BD62</f>
        <v>Ivory Coast</v>
      </c>
      <c r="H161" s="9" t="str">
        <f ca="1">+WORLDCUP!BD63</f>
        <v>Sweden</v>
      </c>
      <c r="I161" s="9" t="str">
        <f ca="1">+WORLDCUP!BD66</f>
        <v>Iraq</v>
      </c>
      <c r="J161" s="9" t="str">
        <f ca="1">+WORLDCUP!BD68</f>
        <v>Uzbekistan</v>
      </c>
      <c r="N161" s="16" t="s">
        <v>475</v>
      </c>
      <c r="O161" s="16">
        <v>160</v>
      </c>
      <c r="P161" s="16" t="s">
        <v>92</v>
      </c>
      <c r="Q161" s="16" t="s">
        <v>445</v>
      </c>
      <c r="R161" s="16" t="s">
        <v>91</v>
      </c>
      <c r="S161" s="16" t="s">
        <v>93</v>
      </c>
      <c r="T161" s="16" t="s">
        <v>94</v>
      </c>
      <c r="U161" s="16" t="s">
        <v>95</v>
      </c>
      <c r="V161" s="16" t="s">
        <v>450</v>
      </c>
      <c r="W161" s="16" t="s">
        <v>452</v>
      </c>
    </row>
    <row r="162" spans="1:23" x14ac:dyDescent="0.2">
      <c r="A162" s="9" t="s">
        <v>474</v>
      </c>
      <c r="B162" s="9">
        <f ca="1">+IF(A162=WORLDCUP!$BI$112,1,0)</f>
        <v>0</v>
      </c>
      <c r="C162" s="9" t="str">
        <f ca="1">+WORLDCUP!BD60</f>
        <v>Haiti</v>
      </c>
      <c r="D162" s="9" t="str">
        <f ca="1">+WORLDCUP!BD64</f>
        <v>Iran</v>
      </c>
      <c r="E162" s="9" t="str">
        <f ca="1">+WORLDCUP!BD59</f>
        <v>Qatar</v>
      </c>
      <c r="F162" s="9" t="str">
        <f ca="1">+WORLDCUP!BD61</f>
        <v>Australia</v>
      </c>
      <c r="G162" s="9" t="str">
        <f ca="1">+WORLDCUP!BD67</f>
        <v>Austria</v>
      </c>
      <c r="H162" s="9" t="str">
        <f ca="1">+WORLDCUP!BD63</f>
        <v>Sweden</v>
      </c>
      <c r="I162" s="9" t="str">
        <f ca="1">+WORLDCUP!BD62</f>
        <v>Ivory Coast</v>
      </c>
      <c r="J162" s="9" t="str">
        <f ca="1">+WORLDCUP!BD66</f>
        <v>Iraq</v>
      </c>
      <c r="N162" s="16" t="s">
        <v>474</v>
      </c>
      <c r="O162" s="16">
        <v>161</v>
      </c>
      <c r="P162" s="16" t="s">
        <v>92</v>
      </c>
      <c r="Q162" s="16" t="s">
        <v>445</v>
      </c>
      <c r="R162" s="16" t="s">
        <v>91</v>
      </c>
      <c r="S162" s="16" t="s">
        <v>93</v>
      </c>
      <c r="T162" s="16" t="s">
        <v>451</v>
      </c>
      <c r="U162" s="16" t="s">
        <v>95</v>
      </c>
      <c r="V162" s="16" t="s">
        <v>94</v>
      </c>
      <c r="W162" s="16" t="s">
        <v>450</v>
      </c>
    </row>
    <row r="163" spans="1:23" x14ac:dyDescent="0.2">
      <c r="A163" s="9" t="s">
        <v>473</v>
      </c>
      <c r="B163" s="9">
        <f ca="1">+IF(A163=WORLDCUP!$BI$112,1,0)</f>
        <v>0</v>
      </c>
      <c r="C163" s="9" t="str">
        <f ca="1">+WORLDCUP!BD60</f>
        <v>Haiti</v>
      </c>
      <c r="D163" s="9" t="str">
        <f ca="1">+WORLDCUP!BD64</f>
        <v>Iran</v>
      </c>
      <c r="E163" s="9" t="str">
        <f ca="1">+WORLDCUP!BD59</f>
        <v>Qatar</v>
      </c>
      <c r="F163" s="9" t="str">
        <f ca="1">+WORLDCUP!BD61</f>
        <v>Australia</v>
      </c>
      <c r="G163" s="9" t="str">
        <f ca="1">+WORLDCUP!BD65</f>
        <v>Saudi Arabia</v>
      </c>
      <c r="H163" s="9" t="str">
        <f ca="1">+WORLDCUP!BD63</f>
        <v>Sweden</v>
      </c>
      <c r="I163" s="9" t="str">
        <f ca="1">+WORLDCUP!BD69</f>
        <v>Ghana</v>
      </c>
      <c r="J163" s="9" t="str">
        <f ca="1">+WORLDCUP!BD62</f>
        <v>Ivory Coast</v>
      </c>
      <c r="N163" s="16" t="s">
        <v>473</v>
      </c>
      <c r="O163" s="16">
        <v>162</v>
      </c>
      <c r="P163" s="16" t="s">
        <v>92</v>
      </c>
      <c r="Q163" s="16" t="s">
        <v>445</v>
      </c>
      <c r="R163" s="16" t="s">
        <v>91</v>
      </c>
      <c r="S163" s="16" t="s">
        <v>93</v>
      </c>
      <c r="T163" s="16" t="s">
        <v>446</v>
      </c>
      <c r="U163" s="16" t="s">
        <v>95</v>
      </c>
      <c r="V163" s="16" t="s">
        <v>453</v>
      </c>
      <c r="W163" s="16" t="s">
        <v>94</v>
      </c>
    </row>
    <row r="164" spans="1:23" x14ac:dyDescent="0.2">
      <c r="A164" s="9" t="s">
        <v>472</v>
      </c>
      <c r="B164" s="9">
        <f ca="1">+IF(A164=WORLDCUP!$BI$112,1,0)</f>
        <v>0</v>
      </c>
      <c r="C164" s="9" t="str">
        <f ca="1">+WORLDCUP!BD60</f>
        <v>Haiti</v>
      </c>
      <c r="D164" s="9" t="str">
        <f ca="1">+WORLDCUP!BD64</f>
        <v>Iran</v>
      </c>
      <c r="E164" s="9" t="str">
        <f ca="1">+WORLDCUP!BD59</f>
        <v>Qatar</v>
      </c>
      <c r="F164" s="9" t="str">
        <f ca="1">+WORLDCUP!BD61</f>
        <v>Australia</v>
      </c>
      <c r="G164" s="9" t="str">
        <f ca="1">+WORLDCUP!BD65</f>
        <v>Saudi Arabia</v>
      </c>
      <c r="H164" s="9" t="str">
        <f ca="1">+WORLDCUP!BD63</f>
        <v>Sweden</v>
      </c>
      <c r="I164" s="9" t="str">
        <f ca="1">+WORLDCUP!BD62</f>
        <v>Ivory Coast</v>
      </c>
      <c r="J164" s="9" t="str">
        <f ca="1">+WORLDCUP!BD68</f>
        <v>Uzbekistan</v>
      </c>
      <c r="N164" s="16" t="s">
        <v>472</v>
      </c>
      <c r="O164" s="16">
        <v>163</v>
      </c>
      <c r="P164" s="16" t="s">
        <v>92</v>
      </c>
      <c r="Q164" s="16" t="s">
        <v>445</v>
      </c>
      <c r="R164" s="16" t="s">
        <v>91</v>
      </c>
      <c r="S164" s="16" t="s">
        <v>93</v>
      </c>
      <c r="T164" s="16" t="s">
        <v>446</v>
      </c>
      <c r="U164" s="16" t="s">
        <v>95</v>
      </c>
      <c r="V164" s="16" t="s">
        <v>94</v>
      </c>
      <c r="W164" s="16" t="s">
        <v>452</v>
      </c>
    </row>
    <row r="165" spans="1:23" x14ac:dyDescent="0.2">
      <c r="A165" s="9" t="s">
        <v>471</v>
      </c>
      <c r="B165" s="9">
        <f ca="1">+IF(A165=WORLDCUP!$BI$112,1,0)</f>
        <v>0</v>
      </c>
      <c r="C165" s="9" t="str">
        <f ca="1">+WORLDCUP!BD65</f>
        <v>Saudi Arabia</v>
      </c>
      <c r="D165" s="9" t="str">
        <f ca="1">+WORLDCUP!BD64</f>
        <v>Iran</v>
      </c>
      <c r="E165" s="9" t="str">
        <f ca="1">+WORLDCUP!BD59</f>
        <v>Qatar</v>
      </c>
      <c r="F165" s="9" t="str">
        <f ca="1">+WORLDCUP!BD60</f>
        <v>Haiti</v>
      </c>
      <c r="G165" s="9" t="str">
        <f ca="1">+WORLDCUP!BD67</f>
        <v>Austria</v>
      </c>
      <c r="H165" s="9" t="str">
        <f ca="1">+WORLDCUP!BD63</f>
        <v>Sweden</v>
      </c>
      <c r="I165" s="9" t="str">
        <f ca="1">+WORLDCUP!BD61</f>
        <v>Australia</v>
      </c>
      <c r="J165" s="9" t="str">
        <f ca="1">+WORLDCUP!BD62</f>
        <v>Ivory Coast</v>
      </c>
      <c r="N165" s="16" t="s">
        <v>471</v>
      </c>
      <c r="O165" s="16">
        <v>164</v>
      </c>
      <c r="P165" s="16" t="s">
        <v>446</v>
      </c>
      <c r="Q165" s="16" t="s">
        <v>445</v>
      </c>
      <c r="R165" s="16" t="s">
        <v>91</v>
      </c>
      <c r="S165" s="16" t="s">
        <v>92</v>
      </c>
      <c r="T165" s="16" t="s">
        <v>451</v>
      </c>
      <c r="U165" s="16" t="s">
        <v>95</v>
      </c>
      <c r="V165" s="16" t="s">
        <v>93</v>
      </c>
      <c r="W165" s="16" t="s">
        <v>94</v>
      </c>
    </row>
    <row r="166" spans="1:23" x14ac:dyDescent="0.2">
      <c r="A166" s="9" t="s">
        <v>470</v>
      </c>
      <c r="B166" s="9">
        <f ca="1">+IF(A166=WORLDCUP!$BI$112,1,0)</f>
        <v>0</v>
      </c>
      <c r="C166" s="9" t="str">
        <f ca="1">+WORLDCUP!BD60</f>
        <v>Haiti</v>
      </c>
      <c r="D166" s="9" t="str">
        <f ca="1">+WORLDCUP!BD64</f>
        <v>Iran</v>
      </c>
      <c r="E166" s="9" t="str">
        <f ca="1">+WORLDCUP!BD59</f>
        <v>Qatar</v>
      </c>
      <c r="F166" s="9" t="str">
        <f ca="1">+WORLDCUP!BD61</f>
        <v>Australia</v>
      </c>
      <c r="G166" s="9" t="str">
        <f ca="1">+WORLDCUP!BD65</f>
        <v>Saudi Arabia</v>
      </c>
      <c r="H166" s="9" t="str">
        <f ca="1">+WORLDCUP!BD63</f>
        <v>Sweden</v>
      </c>
      <c r="I166" s="9" t="str">
        <f ca="1">+WORLDCUP!BD62</f>
        <v>Ivory Coast</v>
      </c>
      <c r="J166" s="9" t="str">
        <f ca="1">+WORLDCUP!BD66</f>
        <v>Iraq</v>
      </c>
      <c r="N166" s="16" t="s">
        <v>470</v>
      </c>
      <c r="O166" s="16">
        <v>165</v>
      </c>
      <c r="P166" s="16" t="s">
        <v>92</v>
      </c>
      <c r="Q166" s="16" t="s">
        <v>445</v>
      </c>
      <c r="R166" s="16" t="s">
        <v>91</v>
      </c>
      <c r="S166" s="16" t="s">
        <v>93</v>
      </c>
      <c r="T166" s="16" t="s">
        <v>446</v>
      </c>
      <c r="U166" s="16" t="s">
        <v>95</v>
      </c>
      <c r="V166" s="16" t="s">
        <v>94</v>
      </c>
      <c r="W166" s="16" t="s">
        <v>450</v>
      </c>
    </row>
    <row r="167" spans="1:23" x14ac:dyDescent="0.2">
      <c r="A167" s="9" t="s">
        <v>607</v>
      </c>
      <c r="B167" s="9">
        <f ca="1">+IF(A167=WORLDCUP!$BI$112,1,0)</f>
        <v>0</v>
      </c>
      <c r="C167" s="9" t="str">
        <f ca="1">+WORLDCUP!BD65</f>
        <v>Saudi Arabia</v>
      </c>
      <c r="D167" s="9" t="str">
        <f ca="1">+WORLDCUP!BD67</f>
        <v>Austria</v>
      </c>
      <c r="E167" s="9" t="str">
        <f ca="1">+WORLDCUP!BD66</f>
        <v>Iraq</v>
      </c>
      <c r="F167" s="9" t="str">
        <f ca="1">+WORLDCUP!BD63</f>
        <v>Sweden</v>
      </c>
      <c r="G167" s="9" t="str">
        <f ca="1">+WORLDCUP!BD58</f>
        <v>South Korea</v>
      </c>
      <c r="H167" s="9" t="str">
        <f ca="1">+WORLDCUP!BD64</f>
        <v>Iran</v>
      </c>
      <c r="I167" s="9" t="str">
        <f ca="1">+WORLDCUP!BD69</f>
        <v>Ghana</v>
      </c>
      <c r="J167" s="9" t="str">
        <f ca="1">+WORLDCUP!BD68</f>
        <v>Uzbekistan</v>
      </c>
      <c r="N167" s="16" t="s">
        <v>607</v>
      </c>
      <c r="O167" s="16">
        <v>166</v>
      </c>
      <c r="P167" s="16" t="s">
        <v>446</v>
      </c>
      <c r="Q167" s="16" t="s">
        <v>451</v>
      </c>
      <c r="R167" s="16" t="s">
        <v>450</v>
      </c>
      <c r="S167" s="16" t="s">
        <v>95</v>
      </c>
      <c r="T167" s="16" t="s">
        <v>90</v>
      </c>
      <c r="U167" s="16" t="s">
        <v>445</v>
      </c>
      <c r="V167" s="16" t="s">
        <v>453</v>
      </c>
      <c r="W167" s="16" t="s">
        <v>452</v>
      </c>
    </row>
    <row r="168" spans="1:23" x14ac:dyDescent="0.2">
      <c r="A168" s="9" t="s">
        <v>1071</v>
      </c>
      <c r="B168" s="9">
        <f ca="1">+IF(A168=WORLDCUP!$BI$112,1,0)</f>
        <v>0</v>
      </c>
      <c r="C168" s="9" t="str">
        <f ca="1">+WORLDCUP!BD62</f>
        <v>Ivory Coast</v>
      </c>
      <c r="D168" s="9" t="str">
        <f ca="1">+WORLDCUP!BD67</f>
        <v>Austria</v>
      </c>
      <c r="E168" s="9" t="str">
        <f ca="1">+WORLDCUP!BD66</f>
        <v>Iraq</v>
      </c>
      <c r="F168" s="9" t="str">
        <f ca="1">+WORLDCUP!BD58</f>
        <v>South Korea</v>
      </c>
      <c r="G168" s="9" t="str">
        <f ca="1">+WORLDCUP!BD65</f>
        <v>Saudi Arabia</v>
      </c>
      <c r="H168" s="9" t="str">
        <f ca="1">+WORLDCUP!BD64</f>
        <v>Iran</v>
      </c>
      <c r="I168" s="9" t="str">
        <f ca="1">+WORLDCUP!BD69</f>
        <v>Ghana</v>
      </c>
      <c r="J168" s="9" t="str">
        <f ca="1">+WORLDCUP!BD68</f>
        <v>Uzbekistan</v>
      </c>
      <c r="N168" s="16" t="s">
        <v>1071</v>
      </c>
      <c r="O168" s="16">
        <v>167</v>
      </c>
      <c r="P168" s="16" t="s">
        <v>94</v>
      </c>
      <c r="Q168" s="16" t="s">
        <v>451</v>
      </c>
      <c r="R168" s="16" t="s">
        <v>450</v>
      </c>
      <c r="S168" s="16" t="s">
        <v>90</v>
      </c>
      <c r="T168" s="16" t="s">
        <v>446</v>
      </c>
      <c r="U168" s="16" t="s">
        <v>445</v>
      </c>
      <c r="V168" s="16" t="s">
        <v>453</v>
      </c>
      <c r="W168" s="16" t="s">
        <v>452</v>
      </c>
    </row>
    <row r="169" spans="1:23" x14ac:dyDescent="0.2">
      <c r="A169" s="9" t="s">
        <v>1070</v>
      </c>
      <c r="B169" s="9">
        <f ca="1">+IF(A169=WORLDCUP!$BI$112,1,0)</f>
        <v>0</v>
      </c>
      <c r="C169" s="9" t="str">
        <f ca="1">+WORLDCUP!BD62</f>
        <v>Ivory Coast</v>
      </c>
      <c r="D169" s="9" t="str">
        <f ca="1">+WORLDCUP!BD67</f>
        <v>Austria</v>
      </c>
      <c r="E169" s="9" t="str">
        <f ca="1">+WORLDCUP!BD66</f>
        <v>Iraq</v>
      </c>
      <c r="F169" s="9" t="str">
        <f ca="1">+WORLDCUP!BD63</f>
        <v>Sweden</v>
      </c>
      <c r="G169" s="9" t="str">
        <f ca="1">+WORLDCUP!BD58</f>
        <v>South Korea</v>
      </c>
      <c r="H169" s="9" t="str">
        <f ca="1">+WORLDCUP!BD65</f>
        <v>Saudi Arabia</v>
      </c>
      <c r="I169" s="9" t="str">
        <f ca="1">+WORLDCUP!BD69</f>
        <v>Ghana</v>
      </c>
      <c r="J169" s="9" t="str">
        <f ca="1">+WORLDCUP!BD68</f>
        <v>Uzbekistan</v>
      </c>
      <c r="N169" s="16" t="s">
        <v>1070</v>
      </c>
      <c r="O169" s="16">
        <v>168</v>
      </c>
      <c r="P169" s="16" t="s">
        <v>94</v>
      </c>
      <c r="Q169" s="16" t="s">
        <v>451</v>
      </c>
      <c r="R169" s="16" t="s">
        <v>450</v>
      </c>
      <c r="S169" s="16" t="s">
        <v>95</v>
      </c>
      <c r="T169" s="16" t="s">
        <v>90</v>
      </c>
      <c r="U169" s="16" t="s">
        <v>446</v>
      </c>
      <c r="V169" s="16" t="s">
        <v>453</v>
      </c>
      <c r="W169" s="16" t="s">
        <v>452</v>
      </c>
    </row>
    <row r="170" spans="1:23" x14ac:dyDescent="0.2">
      <c r="A170" s="9" t="s">
        <v>1069</v>
      </c>
      <c r="B170" s="9">
        <f ca="1">+IF(A170=WORLDCUP!$BI$112,1,0)</f>
        <v>0</v>
      </c>
      <c r="C170" s="9" t="str">
        <f ca="1">+WORLDCUP!BD62</f>
        <v>Ivory Coast</v>
      </c>
      <c r="D170" s="9" t="str">
        <f ca="1">+WORLDCUP!BD67</f>
        <v>Austria</v>
      </c>
      <c r="E170" s="9" t="str">
        <f ca="1">+WORLDCUP!BD66</f>
        <v>Iraq</v>
      </c>
      <c r="F170" s="9" t="str">
        <f ca="1">+WORLDCUP!BD63</f>
        <v>Sweden</v>
      </c>
      <c r="G170" s="9" t="str">
        <f ca="1">+WORLDCUP!BD58</f>
        <v>South Korea</v>
      </c>
      <c r="H170" s="9" t="str">
        <f ca="1">+WORLDCUP!BD64</f>
        <v>Iran</v>
      </c>
      <c r="I170" s="9" t="str">
        <f ca="1">+WORLDCUP!BD69</f>
        <v>Ghana</v>
      </c>
      <c r="J170" s="9" t="str">
        <f ca="1">+WORLDCUP!BD68</f>
        <v>Uzbekistan</v>
      </c>
      <c r="N170" s="16" t="s">
        <v>1069</v>
      </c>
      <c r="O170" s="16">
        <v>169</v>
      </c>
      <c r="P170" s="16" t="s">
        <v>94</v>
      </c>
      <c r="Q170" s="16" t="s">
        <v>451</v>
      </c>
      <c r="R170" s="16" t="s">
        <v>450</v>
      </c>
      <c r="S170" s="16" t="s">
        <v>95</v>
      </c>
      <c r="T170" s="16" t="s">
        <v>90</v>
      </c>
      <c r="U170" s="16" t="s">
        <v>445</v>
      </c>
      <c r="V170" s="16" t="s">
        <v>453</v>
      </c>
      <c r="W170" s="16" t="s">
        <v>452</v>
      </c>
    </row>
    <row r="171" spans="1:23" x14ac:dyDescent="0.2">
      <c r="A171" s="9" t="s">
        <v>1068</v>
      </c>
      <c r="B171" s="9">
        <f ca="1">+IF(A171=WORLDCUP!$BI$112,1,0)</f>
        <v>0</v>
      </c>
      <c r="C171" s="9" t="str">
        <f ca="1">+WORLDCUP!BD62</f>
        <v>Ivory Coast</v>
      </c>
      <c r="D171" s="9" t="str">
        <f ca="1">+WORLDCUP!BD64</f>
        <v>Iran</v>
      </c>
      <c r="E171" s="9" t="str">
        <f ca="1">+WORLDCUP!BD67</f>
        <v>Austria</v>
      </c>
      <c r="F171" s="9" t="str">
        <f ca="1">+WORLDCUP!BD63</f>
        <v>Sweden</v>
      </c>
      <c r="G171" s="9" t="str">
        <f ca="1">+WORLDCUP!BD58</f>
        <v>South Korea</v>
      </c>
      <c r="H171" s="9" t="str">
        <f ca="1">+WORLDCUP!BD65</f>
        <v>Saudi Arabia</v>
      </c>
      <c r="I171" s="9" t="str">
        <f ca="1">+WORLDCUP!BD69</f>
        <v>Ghana</v>
      </c>
      <c r="J171" s="9" t="str">
        <f ca="1">+WORLDCUP!BD68</f>
        <v>Uzbekistan</v>
      </c>
      <c r="N171" s="16" t="s">
        <v>1068</v>
      </c>
      <c r="O171" s="16">
        <v>170</v>
      </c>
      <c r="P171" s="16" t="s">
        <v>94</v>
      </c>
      <c r="Q171" s="16" t="s">
        <v>445</v>
      </c>
      <c r="R171" s="16" t="s">
        <v>451</v>
      </c>
      <c r="S171" s="16" t="s">
        <v>95</v>
      </c>
      <c r="T171" s="16" t="s">
        <v>90</v>
      </c>
      <c r="U171" s="16" t="s">
        <v>446</v>
      </c>
      <c r="V171" s="16" t="s">
        <v>453</v>
      </c>
      <c r="W171" s="16" t="s">
        <v>452</v>
      </c>
    </row>
    <row r="172" spans="1:23" x14ac:dyDescent="0.2">
      <c r="A172" s="9" t="s">
        <v>604</v>
      </c>
      <c r="B172" s="9">
        <f ca="1">+IF(A172=WORLDCUP!$BI$112,1,0)</f>
        <v>0</v>
      </c>
      <c r="C172" s="9" t="str">
        <f ca="1">+WORLDCUP!BD62</f>
        <v>Ivory Coast</v>
      </c>
      <c r="D172" s="9" t="str">
        <f ca="1">+WORLDCUP!BD64</f>
        <v>Iran</v>
      </c>
      <c r="E172" s="9" t="str">
        <f ca="1">+WORLDCUP!BD66</f>
        <v>Iraq</v>
      </c>
      <c r="F172" s="9" t="str">
        <f ca="1">+WORLDCUP!BD63</f>
        <v>Sweden</v>
      </c>
      <c r="G172" s="9" t="str">
        <f ca="1">+WORLDCUP!BD58</f>
        <v>South Korea</v>
      </c>
      <c r="H172" s="9" t="str">
        <f ca="1">+WORLDCUP!BD65</f>
        <v>Saudi Arabia</v>
      </c>
      <c r="I172" s="9" t="str">
        <f ca="1">+WORLDCUP!BD69</f>
        <v>Ghana</v>
      </c>
      <c r="J172" s="9" t="str">
        <f ca="1">+WORLDCUP!BD68</f>
        <v>Uzbekistan</v>
      </c>
      <c r="N172" s="16" t="s">
        <v>604</v>
      </c>
      <c r="O172" s="16">
        <v>171</v>
      </c>
      <c r="P172" s="16" t="s">
        <v>94</v>
      </c>
      <c r="Q172" s="16" t="s">
        <v>445</v>
      </c>
      <c r="R172" s="16" t="s">
        <v>450</v>
      </c>
      <c r="S172" s="16" t="s">
        <v>95</v>
      </c>
      <c r="T172" s="16" t="s">
        <v>90</v>
      </c>
      <c r="U172" s="16" t="s">
        <v>446</v>
      </c>
      <c r="V172" s="16" t="s">
        <v>453</v>
      </c>
      <c r="W172" s="16" t="s">
        <v>452</v>
      </c>
    </row>
    <row r="173" spans="1:23" x14ac:dyDescent="0.2">
      <c r="A173" s="9" t="s">
        <v>606</v>
      </c>
      <c r="B173" s="9">
        <f ca="1">+IF(A173=WORLDCUP!$BI$112,1,0)</f>
        <v>0</v>
      </c>
      <c r="C173" s="9" t="str">
        <f ca="1">+WORLDCUP!BD62</f>
        <v>Ivory Coast</v>
      </c>
      <c r="D173" s="9" t="str">
        <f ca="1">+WORLDCUP!BD64</f>
        <v>Iran</v>
      </c>
      <c r="E173" s="9" t="str">
        <f ca="1">+WORLDCUP!BD67</f>
        <v>Austria</v>
      </c>
      <c r="F173" s="9" t="str">
        <f ca="1">+WORLDCUP!BD63</f>
        <v>Sweden</v>
      </c>
      <c r="G173" s="9" t="str">
        <f ca="1">+WORLDCUP!BD58</f>
        <v>South Korea</v>
      </c>
      <c r="H173" s="9" t="str">
        <f ca="1">+WORLDCUP!BD65</f>
        <v>Saudi Arabia</v>
      </c>
      <c r="I173" s="9" t="str">
        <f ca="1">+WORLDCUP!BD69</f>
        <v>Ghana</v>
      </c>
      <c r="J173" s="9" t="str">
        <f ca="1">+WORLDCUP!BD66</f>
        <v>Iraq</v>
      </c>
      <c r="N173" s="16" t="s">
        <v>606</v>
      </c>
      <c r="O173" s="16">
        <v>172</v>
      </c>
      <c r="P173" s="16" t="s">
        <v>94</v>
      </c>
      <c r="Q173" s="16" t="s">
        <v>445</v>
      </c>
      <c r="R173" s="16" t="s">
        <v>451</v>
      </c>
      <c r="S173" s="16" t="s">
        <v>95</v>
      </c>
      <c r="T173" s="16" t="s">
        <v>90</v>
      </c>
      <c r="U173" s="16" t="s">
        <v>446</v>
      </c>
      <c r="V173" s="16" t="s">
        <v>453</v>
      </c>
      <c r="W173" s="16" t="s">
        <v>450</v>
      </c>
    </row>
    <row r="174" spans="1:23" x14ac:dyDescent="0.2">
      <c r="A174" s="9" t="s">
        <v>605</v>
      </c>
      <c r="B174" s="9">
        <f ca="1">+IF(A174=WORLDCUP!$BI$112,1,0)</f>
        <v>0</v>
      </c>
      <c r="C174" s="9" t="str">
        <f ca="1">+WORLDCUP!BD62</f>
        <v>Ivory Coast</v>
      </c>
      <c r="D174" s="9" t="str">
        <f ca="1">+WORLDCUP!BD64</f>
        <v>Iran</v>
      </c>
      <c r="E174" s="9" t="str">
        <f ca="1">+WORLDCUP!BD67</f>
        <v>Austria</v>
      </c>
      <c r="F174" s="9" t="str">
        <f ca="1">+WORLDCUP!BD63</f>
        <v>Sweden</v>
      </c>
      <c r="G174" s="9" t="str">
        <f ca="1">+WORLDCUP!BD58</f>
        <v>South Korea</v>
      </c>
      <c r="H174" s="9" t="str">
        <f ca="1">+WORLDCUP!BD65</f>
        <v>Saudi Arabia</v>
      </c>
      <c r="I174" s="9" t="str">
        <f ca="1">+WORLDCUP!BD66</f>
        <v>Iraq</v>
      </c>
      <c r="J174" s="9" t="str">
        <f ca="1">+WORLDCUP!BD68</f>
        <v>Uzbekistan</v>
      </c>
      <c r="N174" s="16" t="s">
        <v>605</v>
      </c>
      <c r="O174" s="16">
        <v>173</v>
      </c>
      <c r="P174" s="16" t="s">
        <v>94</v>
      </c>
      <c r="Q174" s="16" t="s">
        <v>445</v>
      </c>
      <c r="R174" s="16" t="s">
        <v>451</v>
      </c>
      <c r="S174" s="16" t="s">
        <v>95</v>
      </c>
      <c r="T174" s="16" t="s">
        <v>90</v>
      </c>
      <c r="U174" s="16" t="s">
        <v>446</v>
      </c>
      <c r="V174" s="16" t="s">
        <v>450</v>
      </c>
      <c r="W174" s="16" t="s">
        <v>452</v>
      </c>
    </row>
    <row r="175" spans="1:23" x14ac:dyDescent="0.2">
      <c r="A175" s="9" t="s">
        <v>1067</v>
      </c>
      <c r="B175" s="9">
        <f ca="1">+IF(A175=WORLDCUP!$BI$112,1,0)</f>
        <v>0</v>
      </c>
      <c r="C175" s="9" t="str">
        <f ca="1">+WORLDCUP!BD65</f>
        <v>Saudi Arabia</v>
      </c>
      <c r="D175" s="9" t="str">
        <f ca="1">+WORLDCUP!BD67</f>
        <v>Austria</v>
      </c>
      <c r="E175" s="9" t="str">
        <f ca="1">+WORLDCUP!BD66</f>
        <v>Iraq</v>
      </c>
      <c r="F175" s="9" t="str">
        <f ca="1">+WORLDCUP!BD61</f>
        <v>Australia</v>
      </c>
      <c r="G175" s="9" t="str">
        <f ca="1">+WORLDCUP!BD58</f>
        <v>South Korea</v>
      </c>
      <c r="H175" s="9" t="str">
        <f ca="1">+WORLDCUP!BD64</f>
        <v>Iran</v>
      </c>
      <c r="I175" s="9" t="str">
        <f ca="1">+WORLDCUP!BD69</f>
        <v>Ghana</v>
      </c>
      <c r="J175" s="9" t="str">
        <f ca="1">+WORLDCUP!BD68</f>
        <v>Uzbekistan</v>
      </c>
      <c r="N175" s="16" t="s">
        <v>1067</v>
      </c>
      <c r="O175" s="16">
        <v>174</v>
      </c>
      <c r="P175" s="16" t="s">
        <v>446</v>
      </c>
      <c r="Q175" s="16" t="s">
        <v>451</v>
      </c>
      <c r="R175" s="16" t="s">
        <v>450</v>
      </c>
      <c r="S175" s="16" t="s">
        <v>93</v>
      </c>
      <c r="T175" s="16" t="s">
        <v>90</v>
      </c>
      <c r="U175" s="16" t="s">
        <v>445</v>
      </c>
      <c r="V175" s="16" t="s">
        <v>453</v>
      </c>
      <c r="W175" s="16" t="s">
        <v>452</v>
      </c>
    </row>
    <row r="176" spans="1:23" x14ac:dyDescent="0.2">
      <c r="A176" s="9" t="s">
        <v>1066</v>
      </c>
      <c r="B176" s="9">
        <f ca="1">+IF(A176=WORLDCUP!$BI$112,1,0)</f>
        <v>0</v>
      </c>
      <c r="C176" s="9" t="str">
        <f ca="1">+WORLDCUP!BD65</f>
        <v>Saudi Arabia</v>
      </c>
      <c r="D176" s="9" t="str">
        <f ca="1">+WORLDCUP!BD67</f>
        <v>Austria</v>
      </c>
      <c r="E176" s="9" t="str">
        <f ca="1">+WORLDCUP!BD66</f>
        <v>Iraq</v>
      </c>
      <c r="F176" s="9" t="str">
        <f ca="1">+WORLDCUP!BD61</f>
        <v>Australia</v>
      </c>
      <c r="G176" s="9" t="str">
        <f ca="1">+WORLDCUP!BD58</f>
        <v>South Korea</v>
      </c>
      <c r="H176" s="9" t="str">
        <f ca="1">+WORLDCUP!BD63</f>
        <v>Sweden</v>
      </c>
      <c r="I176" s="9" t="str">
        <f ca="1">+WORLDCUP!BD69</f>
        <v>Ghana</v>
      </c>
      <c r="J176" s="9" t="str">
        <f ca="1">+WORLDCUP!BD68</f>
        <v>Uzbekistan</v>
      </c>
      <c r="N176" s="16" t="s">
        <v>1066</v>
      </c>
      <c r="O176" s="16">
        <v>175</v>
      </c>
      <c r="P176" s="16" t="s">
        <v>446</v>
      </c>
      <c r="Q176" s="16" t="s">
        <v>451</v>
      </c>
      <c r="R176" s="16" t="s">
        <v>450</v>
      </c>
      <c r="S176" s="16" t="s">
        <v>93</v>
      </c>
      <c r="T176" s="16" t="s">
        <v>90</v>
      </c>
      <c r="U176" s="16" t="s">
        <v>95</v>
      </c>
      <c r="V176" s="16" t="s">
        <v>453</v>
      </c>
      <c r="W176" s="16" t="s">
        <v>452</v>
      </c>
    </row>
    <row r="177" spans="1:23" x14ac:dyDescent="0.2">
      <c r="A177" s="9" t="s">
        <v>1065</v>
      </c>
      <c r="B177" s="9">
        <f ca="1">+IF(A177=WORLDCUP!$BI$112,1,0)</f>
        <v>0</v>
      </c>
      <c r="C177" s="9" t="str">
        <f ca="1">+WORLDCUP!BD66</f>
        <v>Iraq</v>
      </c>
      <c r="D177" s="9" t="str">
        <f ca="1">+WORLDCUP!BD64</f>
        <v>Iran</v>
      </c>
      <c r="E177" s="9" t="str">
        <f ca="1">+WORLDCUP!BD67</f>
        <v>Austria</v>
      </c>
      <c r="F177" s="9" t="str">
        <f ca="1">+WORLDCUP!BD61</f>
        <v>Australia</v>
      </c>
      <c r="G177" s="9" t="str">
        <f ca="1">+WORLDCUP!BD58</f>
        <v>South Korea</v>
      </c>
      <c r="H177" s="9" t="str">
        <f ca="1">+WORLDCUP!BD63</f>
        <v>Sweden</v>
      </c>
      <c r="I177" s="9" t="str">
        <f ca="1">+WORLDCUP!BD69</f>
        <v>Ghana</v>
      </c>
      <c r="J177" s="9" t="str">
        <f ca="1">+WORLDCUP!BD68</f>
        <v>Uzbekistan</v>
      </c>
      <c r="N177" s="16" t="s">
        <v>1065</v>
      </c>
      <c r="O177" s="16">
        <v>176</v>
      </c>
      <c r="P177" s="16" t="s">
        <v>450</v>
      </c>
      <c r="Q177" s="16" t="s">
        <v>445</v>
      </c>
      <c r="R177" s="16" t="s">
        <v>451</v>
      </c>
      <c r="S177" s="16" t="s">
        <v>93</v>
      </c>
      <c r="T177" s="16" t="s">
        <v>90</v>
      </c>
      <c r="U177" s="16" t="s">
        <v>95</v>
      </c>
      <c r="V177" s="16" t="s">
        <v>453</v>
      </c>
      <c r="W177" s="16" t="s">
        <v>452</v>
      </c>
    </row>
    <row r="178" spans="1:23" x14ac:dyDescent="0.2">
      <c r="A178" s="9" t="s">
        <v>1064</v>
      </c>
      <c r="B178" s="9">
        <f ca="1">+IF(A178=WORLDCUP!$BI$112,1,0)</f>
        <v>0</v>
      </c>
      <c r="C178" s="9" t="str">
        <f ca="1">+WORLDCUP!BD65</f>
        <v>Saudi Arabia</v>
      </c>
      <c r="D178" s="9" t="str">
        <f ca="1">+WORLDCUP!BD64</f>
        <v>Iran</v>
      </c>
      <c r="E178" s="9" t="str">
        <f ca="1">+WORLDCUP!BD67</f>
        <v>Austria</v>
      </c>
      <c r="F178" s="9" t="str">
        <f ca="1">+WORLDCUP!BD61</f>
        <v>Australia</v>
      </c>
      <c r="G178" s="9" t="str">
        <f ca="1">+WORLDCUP!BD58</f>
        <v>South Korea</v>
      </c>
      <c r="H178" s="9" t="str">
        <f ca="1">+WORLDCUP!BD63</f>
        <v>Sweden</v>
      </c>
      <c r="I178" s="9" t="str">
        <f ca="1">+WORLDCUP!BD69</f>
        <v>Ghana</v>
      </c>
      <c r="J178" s="9" t="str">
        <f ca="1">+WORLDCUP!BD68</f>
        <v>Uzbekistan</v>
      </c>
      <c r="N178" s="16" t="s">
        <v>1064</v>
      </c>
      <c r="O178" s="16">
        <v>177</v>
      </c>
      <c r="P178" s="16" t="s">
        <v>446</v>
      </c>
      <c r="Q178" s="16" t="s">
        <v>445</v>
      </c>
      <c r="R178" s="16" t="s">
        <v>451</v>
      </c>
      <c r="S178" s="16" t="s">
        <v>93</v>
      </c>
      <c r="T178" s="16" t="s">
        <v>90</v>
      </c>
      <c r="U178" s="16" t="s">
        <v>95</v>
      </c>
      <c r="V178" s="16" t="s">
        <v>453</v>
      </c>
      <c r="W178" s="16" t="s">
        <v>452</v>
      </c>
    </row>
    <row r="179" spans="1:23" x14ac:dyDescent="0.2">
      <c r="A179" s="9" t="s">
        <v>1063</v>
      </c>
      <c r="B179" s="9">
        <f ca="1">+IF(A179=WORLDCUP!$BI$112,1,0)</f>
        <v>0</v>
      </c>
      <c r="C179" s="9" t="str">
        <f ca="1">+WORLDCUP!BD65</f>
        <v>Saudi Arabia</v>
      </c>
      <c r="D179" s="9" t="str">
        <f ca="1">+WORLDCUP!BD64</f>
        <v>Iran</v>
      </c>
      <c r="E179" s="9" t="str">
        <f ca="1">+WORLDCUP!BD66</f>
        <v>Iraq</v>
      </c>
      <c r="F179" s="9" t="str">
        <f ca="1">+WORLDCUP!BD61</f>
        <v>Australia</v>
      </c>
      <c r="G179" s="9" t="str">
        <f ca="1">+WORLDCUP!BD58</f>
        <v>South Korea</v>
      </c>
      <c r="H179" s="9" t="str">
        <f ca="1">+WORLDCUP!BD63</f>
        <v>Sweden</v>
      </c>
      <c r="I179" s="9" t="str">
        <f ca="1">+WORLDCUP!BD69</f>
        <v>Ghana</v>
      </c>
      <c r="J179" s="9" t="str">
        <f ca="1">+WORLDCUP!BD68</f>
        <v>Uzbekistan</v>
      </c>
      <c r="N179" s="16" t="s">
        <v>1063</v>
      </c>
      <c r="O179" s="16">
        <v>178</v>
      </c>
      <c r="P179" s="16" t="s">
        <v>446</v>
      </c>
      <c r="Q179" s="16" t="s">
        <v>445</v>
      </c>
      <c r="R179" s="16" t="s">
        <v>450</v>
      </c>
      <c r="S179" s="16" t="s">
        <v>93</v>
      </c>
      <c r="T179" s="16" t="s">
        <v>90</v>
      </c>
      <c r="U179" s="16" t="s">
        <v>95</v>
      </c>
      <c r="V179" s="16" t="s">
        <v>453</v>
      </c>
      <c r="W179" s="16" t="s">
        <v>452</v>
      </c>
    </row>
    <row r="180" spans="1:23" x14ac:dyDescent="0.2">
      <c r="A180" s="9" t="s">
        <v>1062</v>
      </c>
      <c r="B180" s="9">
        <f ca="1">+IF(A180=WORLDCUP!$BI$112,1,0)</f>
        <v>0</v>
      </c>
      <c r="C180" s="9" t="str">
        <f ca="1">+WORLDCUP!BD65</f>
        <v>Saudi Arabia</v>
      </c>
      <c r="D180" s="9" t="str">
        <f ca="1">+WORLDCUP!BD64</f>
        <v>Iran</v>
      </c>
      <c r="E180" s="9" t="str">
        <f ca="1">+WORLDCUP!BD67</f>
        <v>Austria</v>
      </c>
      <c r="F180" s="9" t="str">
        <f ca="1">+WORLDCUP!BD61</f>
        <v>Australia</v>
      </c>
      <c r="G180" s="9" t="str">
        <f ca="1">+WORLDCUP!BD58</f>
        <v>South Korea</v>
      </c>
      <c r="H180" s="9" t="str">
        <f ca="1">+WORLDCUP!BD63</f>
        <v>Sweden</v>
      </c>
      <c r="I180" s="9" t="str">
        <f ca="1">+WORLDCUP!BD69</f>
        <v>Ghana</v>
      </c>
      <c r="J180" s="9" t="str">
        <f ca="1">+WORLDCUP!BD66</f>
        <v>Iraq</v>
      </c>
      <c r="N180" s="16" t="s">
        <v>1062</v>
      </c>
      <c r="O180" s="16">
        <v>179</v>
      </c>
      <c r="P180" s="16" t="s">
        <v>446</v>
      </c>
      <c r="Q180" s="16" t="s">
        <v>445</v>
      </c>
      <c r="R180" s="16" t="s">
        <v>451</v>
      </c>
      <c r="S180" s="16" t="s">
        <v>93</v>
      </c>
      <c r="T180" s="16" t="s">
        <v>90</v>
      </c>
      <c r="U180" s="16" t="s">
        <v>95</v>
      </c>
      <c r="V180" s="16" t="s">
        <v>453</v>
      </c>
      <c r="W180" s="16" t="s">
        <v>450</v>
      </c>
    </row>
    <row r="181" spans="1:23" x14ac:dyDescent="0.2">
      <c r="A181" s="9" t="s">
        <v>1061</v>
      </c>
      <c r="B181" s="9">
        <f ca="1">+IF(A181=WORLDCUP!$BI$112,1,0)</f>
        <v>0</v>
      </c>
      <c r="C181" s="9" t="str">
        <f ca="1">+WORLDCUP!BD65</f>
        <v>Saudi Arabia</v>
      </c>
      <c r="D181" s="9" t="str">
        <f ca="1">+WORLDCUP!BD64</f>
        <v>Iran</v>
      </c>
      <c r="E181" s="9" t="str">
        <f ca="1">+WORLDCUP!BD67</f>
        <v>Austria</v>
      </c>
      <c r="F181" s="9" t="str">
        <f ca="1">+WORLDCUP!BD61</f>
        <v>Australia</v>
      </c>
      <c r="G181" s="9" t="str">
        <f ca="1">+WORLDCUP!BD58</f>
        <v>South Korea</v>
      </c>
      <c r="H181" s="9" t="str">
        <f ca="1">+WORLDCUP!BD63</f>
        <v>Sweden</v>
      </c>
      <c r="I181" s="9" t="str">
        <f ca="1">+WORLDCUP!BD66</f>
        <v>Iraq</v>
      </c>
      <c r="J181" s="9" t="str">
        <f ca="1">+WORLDCUP!BD68</f>
        <v>Uzbekistan</v>
      </c>
      <c r="N181" s="16" t="s">
        <v>1061</v>
      </c>
      <c r="O181" s="16">
        <v>180</v>
      </c>
      <c r="P181" s="16" t="s">
        <v>446</v>
      </c>
      <c r="Q181" s="16" t="s">
        <v>445</v>
      </c>
      <c r="R181" s="16" t="s">
        <v>451</v>
      </c>
      <c r="S181" s="16" t="s">
        <v>93</v>
      </c>
      <c r="T181" s="16" t="s">
        <v>90</v>
      </c>
      <c r="U181" s="16" t="s">
        <v>95</v>
      </c>
      <c r="V181" s="16" t="s">
        <v>450</v>
      </c>
      <c r="W181" s="16" t="s">
        <v>452</v>
      </c>
    </row>
    <row r="182" spans="1:23" x14ac:dyDescent="0.2">
      <c r="A182" s="9" t="s">
        <v>1060</v>
      </c>
      <c r="B182" s="9">
        <f ca="1">+IF(A182=WORLDCUP!$BI$112,1,0)</f>
        <v>0</v>
      </c>
      <c r="C182" s="9" t="str">
        <f ca="1">+WORLDCUP!BD62</f>
        <v>Ivory Coast</v>
      </c>
      <c r="D182" s="9" t="str">
        <f ca="1">+WORLDCUP!BD67</f>
        <v>Austria</v>
      </c>
      <c r="E182" s="9" t="str">
        <f ca="1">+WORLDCUP!BD66</f>
        <v>Iraq</v>
      </c>
      <c r="F182" s="9" t="str">
        <f ca="1">+WORLDCUP!BD61</f>
        <v>Australia</v>
      </c>
      <c r="G182" s="9" t="str">
        <f ca="1">+WORLDCUP!BD58</f>
        <v>South Korea</v>
      </c>
      <c r="H182" s="9" t="str">
        <f ca="1">+WORLDCUP!BD65</f>
        <v>Saudi Arabia</v>
      </c>
      <c r="I182" s="9" t="str">
        <f ca="1">+WORLDCUP!BD69</f>
        <v>Ghana</v>
      </c>
      <c r="J182" s="9" t="str">
        <f ca="1">+WORLDCUP!BD68</f>
        <v>Uzbekistan</v>
      </c>
      <c r="N182" s="16" t="s">
        <v>1060</v>
      </c>
      <c r="O182" s="16">
        <v>181</v>
      </c>
      <c r="P182" s="16" t="s">
        <v>94</v>
      </c>
      <c r="Q182" s="16" t="s">
        <v>451</v>
      </c>
      <c r="R182" s="16" t="s">
        <v>450</v>
      </c>
      <c r="S182" s="16" t="s">
        <v>93</v>
      </c>
      <c r="T182" s="16" t="s">
        <v>90</v>
      </c>
      <c r="U182" s="16" t="s">
        <v>446</v>
      </c>
      <c r="V182" s="16" t="s">
        <v>453</v>
      </c>
      <c r="W182" s="16" t="s">
        <v>452</v>
      </c>
    </row>
    <row r="183" spans="1:23" x14ac:dyDescent="0.2">
      <c r="A183" s="9" t="s">
        <v>1059</v>
      </c>
      <c r="B183" s="9">
        <f ca="1">+IF(A183=WORLDCUP!$BI$112,1,0)</f>
        <v>0</v>
      </c>
      <c r="C183" s="9" t="str">
        <f ca="1">+WORLDCUP!BD62</f>
        <v>Ivory Coast</v>
      </c>
      <c r="D183" s="9" t="str">
        <f ca="1">+WORLDCUP!BD67</f>
        <v>Austria</v>
      </c>
      <c r="E183" s="9" t="str">
        <f ca="1">+WORLDCUP!BD66</f>
        <v>Iraq</v>
      </c>
      <c r="F183" s="9" t="str">
        <f ca="1">+WORLDCUP!BD61</f>
        <v>Australia</v>
      </c>
      <c r="G183" s="9" t="str">
        <f ca="1">+WORLDCUP!BD58</f>
        <v>South Korea</v>
      </c>
      <c r="H183" s="9" t="str">
        <f ca="1">+WORLDCUP!BD64</f>
        <v>Iran</v>
      </c>
      <c r="I183" s="9" t="str">
        <f ca="1">+WORLDCUP!BD69</f>
        <v>Ghana</v>
      </c>
      <c r="J183" s="9" t="str">
        <f ca="1">+WORLDCUP!BD68</f>
        <v>Uzbekistan</v>
      </c>
      <c r="N183" s="16" t="s">
        <v>1059</v>
      </c>
      <c r="O183" s="16">
        <v>182</v>
      </c>
      <c r="P183" s="16" t="s">
        <v>94</v>
      </c>
      <c r="Q183" s="16" t="s">
        <v>451</v>
      </c>
      <c r="R183" s="16" t="s">
        <v>450</v>
      </c>
      <c r="S183" s="16" t="s">
        <v>93</v>
      </c>
      <c r="T183" s="16" t="s">
        <v>90</v>
      </c>
      <c r="U183" s="16" t="s">
        <v>445</v>
      </c>
      <c r="V183" s="16" t="s">
        <v>453</v>
      </c>
      <c r="W183" s="16" t="s">
        <v>452</v>
      </c>
    </row>
    <row r="184" spans="1:23" x14ac:dyDescent="0.2">
      <c r="A184" s="9" t="s">
        <v>1058</v>
      </c>
      <c r="B184" s="9">
        <f ca="1">+IF(A184=WORLDCUP!$BI$112,1,0)</f>
        <v>0</v>
      </c>
      <c r="C184" s="9" t="str">
        <f ca="1">+WORLDCUP!BD62</f>
        <v>Ivory Coast</v>
      </c>
      <c r="D184" s="9" t="str">
        <f ca="1">+WORLDCUP!BD64</f>
        <v>Iran</v>
      </c>
      <c r="E184" s="9" t="str">
        <f ca="1">+WORLDCUP!BD67</f>
        <v>Austria</v>
      </c>
      <c r="F184" s="9" t="str">
        <f ca="1">+WORLDCUP!BD61</f>
        <v>Australia</v>
      </c>
      <c r="G184" s="9" t="str">
        <f ca="1">+WORLDCUP!BD58</f>
        <v>South Korea</v>
      </c>
      <c r="H184" s="9" t="str">
        <f ca="1">+WORLDCUP!BD65</f>
        <v>Saudi Arabia</v>
      </c>
      <c r="I184" s="9" t="str">
        <f ca="1">+WORLDCUP!BD69</f>
        <v>Ghana</v>
      </c>
      <c r="J184" s="9" t="str">
        <f ca="1">+WORLDCUP!BD68</f>
        <v>Uzbekistan</v>
      </c>
      <c r="N184" s="16" t="s">
        <v>1058</v>
      </c>
      <c r="O184" s="16">
        <v>183</v>
      </c>
      <c r="P184" s="16" t="s">
        <v>94</v>
      </c>
      <c r="Q184" s="16" t="s">
        <v>445</v>
      </c>
      <c r="R184" s="16" t="s">
        <v>451</v>
      </c>
      <c r="S184" s="16" t="s">
        <v>93</v>
      </c>
      <c r="T184" s="16" t="s">
        <v>90</v>
      </c>
      <c r="U184" s="16" t="s">
        <v>446</v>
      </c>
      <c r="V184" s="16" t="s">
        <v>453</v>
      </c>
      <c r="W184" s="16" t="s">
        <v>452</v>
      </c>
    </row>
    <row r="185" spans="1:23" x14ac:dyDescent="0.2">
      <c r="A185" s="9" t="s">
        <v>1057</v>
      </c>
      <c r="B185" s="9">
        <f ca="1">+IF(A185=WORLDCUP!$BI$112,1,0)</f>
        <v>0</v>
      </c>
      <c r="C185" s="9" t="str">
        <f ca="1">+WORLDCUP!BD62</f>
        <v>Ivory Coast</v>
      </c>
      <c r="D185" s="9" t="str">
        <f ca="1">+WORLDCUP!BD64</f>
        <v>Iran</v>
      </c>
      <c r="E185" s="9" t="str">
        <f ca="1">+WORLDCUP!BD66</f>
        <v>Iraq</v>
      </c>
      <c r="F185" s="9" t="str">
        <f ca="1">+WORLDCUP!BD61</f>
        <v>Australia</v>
      </c>
      <c r="G185" s="9" t="str">
        <f ca="1">+WORLDCUP!BD58</f>
        <v>South Korea</v>
      </c>
      <c r="H185" s="9" t="str">
        <f ca="1">+WORLDCUP!BD65</f>
        <v>Saudi Arabia</v>
      </c>
      <c r="I185" s="9" t="str">
        <f ca="1">+WORLDCUP!BD69</f>
        <v>Ghana</v>
      </c>
      <c r="J185" s="9" t="str">
        <f ca="1">+WORLDCUP!BD68</f>
        <v>Uzbekistan</v>
      </c>
      <c r="N185" s="16" t="s">
        <v>1057</v>
      </c>
      <c r="O185" s="16">
        <v>184</v>
      </c>
      <c r="P185" s="16" t="s">
        <v>94</v>
      </c>
      <c r="Q185" s="16" t="s">
        <v>445</v>
      </c>
      <c r="R185" s="16" t="s">
        <v>450</v>
      </c>
      <c r="S185" s="16" t="s">
        <v>93</v>
      </c>
      <c r="T185" s="16" t="s">
        <v>90</v>
      </c>
      <c r="U185" s="16" t="s">
        <v>446</v>
      </c>
      <c r="V185" s="16" t="s">
        <v>453</v>
      </c>
      <c r="W185" s="16" t="s">
        <v>452</v>
      </c>
    </row>
    <row r="186" spans="1:23" x14ac:dyDescent="0.2">
      <c r="A186" s="9" t="s">
        <v>1056</v>
      </c>
      <c r="B186" s="9">
        <f ca="1">+IF(A186=WORLDCUP!$BI$112,1,0)</f>
        <v>0</v>
      </c>
      <c r="C186" s="9" t="str">
        <f ca="1">+WORLDCUP!BD62</f>
        <v>Ivory Coast</v>
      </c>
      <c r="D186" s="9" t="str">
        <f ca="1">+WORLDCUP!BD64</f>
        <v>Iran</v>
      </c>
      <c r="E186" s="9" t="str">
        <f ca="1">+WORLDCUP!BD67</f>
        <v>Austria</v>
      </c>
      <c r="F186" s="9" t="str">
        <f ca="1">+WORLDCUP!BD61</f>
        <v>Australia</v>
      </c>
      <c r="G186" s="9" t="str">
        <f ca="1">+WORLDCUP!BD58</f>
        <v>South Korea</v>
      </c>
      <c r="H186" s="9" t="str">
        <f ca="1">+WORLDCUP!BD65</f>
        <v>Saudi Arabia</v>
      </c>
      <c r="I186" s="9" t="str">
        <f ca="1">+WORLDCUP!BD69</f>
        <v>Ghana</v>
      </c>
      <c r="J186" s="9" t="str">
        <f ca="1">+WORLDCUP!BD66</f>
        <v>Iraq</v>
      </c>
      <c r="N186" s="16" t="s">
        <v>1056</v>
      </c>
      <c r="O186" s="16">
        <v>185</v>
      </c>
      <c r="P186" s="16" t="s">
        <v>94</v>
      </c>
      <c r="Q186" s="16" t="s">
        <v>445</v>
      </c>
      <c r="R186" s="16" t="s">
        <v>451</v>
      </c>
      <c r="S186" s="16" t="s">
        <v>93</v>
      </c>
      <c r="T186" s="16" t="s">
        <v>90</v>
      </c>
      <c r="U186" s="16" t="s">
        <v>446</v>
      </c>
      <c r="V186" s="16" t="s">
        <v>453</v>
      </c>
      <c r="W186" s="16" t="s">
        <v>450</v>
      </c>
    </row>
    <row r="187" spans="1:23" x14ac:dyDescent="0.2">
      <c r="A187" s="9" t="s">
        <v>1055</v>
      </c>
      <c r="B187" s="9">
        <f ca="1">+IF(A187=WORLDCUP!$BI$112,1,0)</f>
        <v>0</v>
      </c>
      <c r="C187" s="9" t="str">
        <f ca="1">+WORLDCUP!BD62</f>
        <v>Ivory Coast</v>
      </c>
      <c r="D187" s="9" t="str">
        <f ca="1">+WORLDCUP!BD64</f>
        <v>Iran</v>
      </c>
      <c r="E187" s="9" t="str">
        <f ca="1">+WORLDCUP!BD67</f>
        <v>Austria</v>
      </c>
      <c r="F187" s="9" t="str">
        <f ca="1">+WORLDCUP!BD61</f>
        <v>Australia</v>
      </c>
      <c r="G187" s="9" t="str">
        <f ca="1">+WORLDCUP!BD58</f>
        <v>South Korea</v>
      </c>
      <c r="H187" s="9" t="str">
        <f ca="1">+WORLDCUP!BD65</f>
        <v>Saudi Arabia</v>
      </c>
      <c r="I187" s="9" t="str">
        <f ca="1">+WORLDCUP!BD66</f>
        <v>Iraq</v>
      </c>
      <c r="J187" s="9" t="str">
        <f ca="1">+WORLDCUP!BD68</f>
        <v>Uzbekistan</v>
      </c>
      <c r="N187" s="16" t="s">
        <v>1055</v>
      </c>
      <c r="O187" s="16">
        <v>186</v>
      </c>
      <c r="P187" s="16" t="s">
        <v>94</v>
      </c>
      <c r="Q187" s="16" t="s">
        <v>445</v>
      </c>
      <c r="R187" s="16" t="s">
        <v>451</v>
      </c>
      <c r="S187" s="16" t="s">
        <v>93</v>
      </c>
      <c r="T187" s="16" t="s">
        <v>90</v>
      </c>
      <c r="U187" s="16" t="s">
        <v>446</v>
      </c>
      <c r="V187" s="16" t="s">
        <v>450</v>
      </c>
      <c r="W187" s="16" t="s">
        <v>452</v>
      </c>
    </row>
    <row r="188" spans="1:23" x14ac:dyDescent="0.2">
      <c r="A188" s="9" t="s">
        <v>1054</v>
      </c>
      <c r="B188" s="9">
        <f ca="1">+IF(A188=WORLDCUP!$BI$112,1,0)</f>
        <v>0</v>
      </c>
      <c r="C188" s="9" t="str">
        <f ca="1">+WORLDCUP!BD62</f>
        <v>Ivory Coast</v>
      </c>
      <c r="D188" s="9" t="str">
        <f ca="1">+WORLDCUP!BD67</f>
        <v>Austria</v>
      </c>
      <c r="E188" s="9" t="str">
        <f ca="1">+WORLDCUP!BD66</f>
        <v>Iraq</v>
      </c>
      <c r="F188" s="9" t="str">
        <f ca="1">+WORLDCUP!BD61</f>
        <v>Australia</v>
      </c>
      <c r="G188" s="9" t="str">
        <f ca="1">+WORLDCUP!BD58</f>
        <v>South Korea</v>
      </c>
      <c r="H188" s="9" t="str">
        <f ca="1">+WORLDCUP!BD63</f>
        <v>Sweden</v>
      </c>
      <c r="I188" s="9" t="str">
        <f ca="1">+WORLDCUP!BD69</f>
        <v>Ghana</v>
      </c>
      <c r="J188" s="9" t="str">
        <f ca="1">+WORLDCUP!BD68</f>
        <v>Uzbekistan</v>
      </c>
      <c r="N188" s="16" t="s">
        <v>1054</v>
      </c>
      <c r="O188" s="16">
        <v>187</v>
      </c>
      <c r="P188" s="16" t="s">
        <v>94</v>
      </c>
      <c r="Q188" s="16" t="s">
        <v>451</v>
      </c>
      <c r="R188" s="16" t="s">
        <v>450</v>
      </c>
      <c r="S188" s="16" t="s">
        <v>93</v>
      </c>
      <c r="T188" s="16" t="s">
        <v>90</v>
      </c>
      <c r="U188" s="16" t="s">
        <v>95</v>
      </c>
      <c r="V188" s="16" t="s">
        <v>453</v>
      </c>
      <c r="W188" s="16" t="s">
        <v>452</v>
      </c>
    </row>
    <row r="189" spans="1:23" x14ac:dyDescent="0.2">
      <c r="A189" s="9" t="s">
        <v>1053</v>
      </c>
      <c r="B189" s="9">
        <f ca="1">+IF(A189=WORLDCUP!$BI$112,1,0)</f>
        <v>0</v>
      </c>
      <c r="C189" s="9" t="str">
        <f ca="1">+WORLDCUP!BD65</f>
        <v>Saudi Arabia</v>
      </c>
      <c r="D189" s="9" t="str">
        <f ca="1">+WORLDCUP!BD67</f>
        <v>Austria</v>
      </c>
      <c r="E189" s="9" t="str">
        <f ca="1">+WORLDCUP!BD62</f>
        <v>Ivory Coast</v>
      </c>
      <c r="F189" s="9" t="str">
        <f ca="1">+WORLDCUP!BD61</f>
        <v>Australia</v>
      </c>
      <c r="G189" s="9" t="str">
        <f ca="1">+WORLDCUP!BD58</f>
        <v>South Korea</v>
      </c>
      <c r="H189" s="9" t="str">
        <f ca="1">+WORLDCUP!BD63</f>
        <v>Sweden</v>
      </c>
      <c r="I189" s="9" t="str">
        <f ca="1">+WORLDCUP!BD69</f>
        <v>Ghana</v>
      </c>
      <c r="J189" s="9" t="str">
        <f ca="1">+WORLDCUP!BD68</f>
        <v>Uzbekistan</v>
      </c>
      <c r="N189" s="16" t="s">
        <v>1053</v>
      </c>
      <c r="O189" s="16">
        <v>188</v>
      </c>
      <c r="P189" s="16" t="s">
        <v>446</v>
      </c>
      <c r="Q189" s="16" t="s">
        <v>451</v>
      </c>
      <c r="R189" s="16" t="s">
        <v>94</v>
      </c>
      <c r="S189" s="16" t="s">
        <v>93</v>
      </c>
      <c r="T189" s="16" t="s">
        <v>90</v>
      </c>
      <c r="U189" s="16" t="s">
        <v>95</v>
      </c>
      <c r="V189" s="16" t="s">
        <v>453</v>
      </c>
      <c r="W189" s="16" t="s">
        <v>452</v>
      </c>
    </row>
    <row r="190" spans="1:23" x14ac:dyDescent="0.2">
      <c r="A190" s="9" t="s">
        <v>1052</v>
      </c>
      <c r="B190" s="9">
        <f ca="1">+IF(A190=WORLDCUP!$BI$112,1,0)</f>
        <v>0</v>
      </c>
      <c r="C190" s="9" t="str">
        <f ca="1">+WORLDCUP!BD65</f>
        <v>Saudi Arabia</v>
      </c>
      <c r="D190" s="9" t="str">
        <f ca="1">+WORLDCUP!BD62</f>
        <v>Ivory Coast</v>
      </c>
      <c r="E190" s="9" t="str">
        <f ca="1">+WORLDCUP!BD66</f>
        <v>Iraq</v>
      </c>
      <c r="F190" s="9" t="str">
        <f ca="1">+WORLDCUP!BD61</f>
        <v>Australia</v>
      </c>
      <c r="G190" s="9" t="str">
        <f ca="1">+WORLDCUP!BD58</f>
        <v>South Korea</v>
      </c>
      <c r="H190" s="9" t="str">
        <f ca="1">+WORLDCUP!BD63</f>
        <v>Sweden</v>
      </c>
      <c r="I190" s="9" t="str">
        <f ca="1">+WORLDCUP!BD69</f>
        <v>Ghana</v>
      </c>
      <c r="J190" s="9" t="str">
        <f ca="1">+WORLDCUP!BD68</f>
        <v>Uzbekistan</v>
      </c>
      <c r="N190" s="16" t="s">
        <v>1052</v>
      </c>
      <c r="O190" s="16">
        <v>189</v>
      </c>
      <c r="P190" s="16" t="s">
        <v>446</v>
      </c>
      <c r="Q190" s="16" t="s">
        <v>94</v>
      </c>
      <c r="R190" s="16" t="s">
        <v>450</v>
      </c>
      <c r="S190" s="16" t="s">
        <v>93</v>
      </c>
      <c r="T190" s="16" t="s">
        <v>90</v>
      </c>
      <c r="U190" s="16" t="s">
        <v>95</v>
      </c>
      <c r="V190" s="16" t="s">
        <v>453</v>
      </c>
      <c r="W190" s="16" t="s">
        <v>452</v>
      </c>
    </row>
    <row r="191" spans="1:23" x14ac:dyDescent="0.2">
      <c r="A191" s="9" t="s">
        <v>1051</v>
      </c>
      <c r="B191" s="9">
        <f ca="1">+IF(A191=WORLDCUP!$BI$112,1,0)</f>
        <v>0</v>
      </c>
      <c r="C191" s="9" t="str">
        <f ca="1">+WORLDCUP!BD65</f>
        <v>Saudi Arabia</v>
      </c>
      <c r="D191" s="9" t="str">
        <f ca="1">+WORLDCUP!BD67</f>
        <v>Austria</v>
      </c>
      <c r="E191" s="9" t="str">
        <f ca="1">+WORLDCUP!BD62</f>
        <v>Ivory Coast</v>
      </c>
      <c r="F191" s="9" t="str">
        <f ca="1">+WORLDCUP!BD61</f>
        <v>Australia</v>
      </c>
      <c r="G191" s="9" t="str">
        <f ca="1">+WORLDCUP!BD58</f>
        <v>South Korea</v>
      </c>
      <c r="H191" s="9" t="str">
        <f ca="1">+WORLDCUP!BD63</f>
        <v>Sweden</v>
      </c>
      <c r="I191" s="9" t="str">
        <f ca="1">+WORLDCUP!BD69</f>
        <v>Ghana</v>
      </c>
      <c r="J191" s="9" t="str">
        <f ca="1">+WORLDCUP!BD66</f>
        <v>Iraq</v>
      </c>
      <c r="N191" s="16" t="s">
        <v>1051</v>
      </c>
      <c r="O191" s="16">
        <v>190</v>
      </c>
      <c r="P191" s="16" t="s">
        <v>446</v>
      </c>
      <c r="Q191" s="16" t="s">
        <v>451</v>
      </c>
      <c r="R191" s="16" t="s">
        <v>94</v>
      </c>
      <c r="S191" s="16" t="s">
        <v>93</v>
      </c>
      <c r="T191" s="16" t="s">
        <v>90</v>
      </c>
      <c r="U191" s="16" t="s">
        <v>95</v>
      </c>
      <c r="V191" s="16" t="s">
        <v>453</v>
      </c>
      <c r="W191" s="16" t="s">
        <v>450</v>
      </c>
    </row>
    <row r="192" spans="1:23" x14ac:dyDescent="0.2">
      <c r="A192" s="9" t="s">
        <v>1050</v>
      </c>
      <c r="B192" s="9">
        <f ca="1">+IF(A192=WORLDCUP!$BI$112,1,0)</f>
        <v>0</v>
      </c>
      <c r="C192" s="9" t="str">
        <f ca="1">+WORLDCUP!BD65</f>
        <v>Saudi Arabia</v>
      </c>
      <c r="D192" s="9" t="str">
        <f ca="1">+WORLDCUP!BD67</f>
        <v>Austria</v>
      </c>
      <c r="E192" s="9" t="str">
        <f ca="1">+WORLDCUP!BD62</f>
        <v>Ivory Coast</v>
      </c>
      <c r="F192" s="9" t="str">
        <f ca="1">+WORLDCUP!BD61</f>
        <v>Australia</v>
      </c>
      <c r="G192" s="9" t="str">
        <f ca="1">+WORLDCUP!BD58</f>
        <v>South Korea</v>
      </c>
      <c r="H192" s="9" t="str">
        <f ca="1">+WORLDCUP!BD63</f>
        <v>Sweden</v>
      </c>
      <c r="I192" s="9" t="str">
        <f ca="1">+WORLDCUP!BD66</f>
        <v>Iraq</v>
      </c>
      <c r="J192" s="9" t="str">
        <f ca="1">+WORLDCUP!BD68</f>
        <v>Uzbekistan</v>
      </c>
      <c r="N192" s="16" t="s">
        <v>1050</v>
      </c>
      <c r="O192" s="16">
        <v>191</v>
      </c>
      <c r="P192" s="16" t="s">
        <v>446</v>
      </c>
      <c r="Q192" s="16" t="s">
        <v>451</v>
      </c>
      <c r="R192" s="16" t="s">
        <v>94</v>
      </c>
      <c r="S192" s="16" t="s">
        <v>93</v>
      </c>
      <c r="T192" s="16" t="s">
        <v>90</v>
      </c>
      <c r="U192" s="16" t="s">
        <v>95</v>
      </c>
      <c r="V192" s="16" t="s">
        <v>450</v>
      </c>
      <c r="W192" s="16" t="s">
        <v>452</v>
      </c>
    </row>
    <row r="193" spans="1:23" x14ac:dyDescent="0.2">
      <c r="A193" s="9" t="s">
        <v>1049</v>
      </c>
      <c r="B193" s="9">
        <f ca="1">+IF(A193=WORLDCUP!$BI$112,1,0)</f>
        <v>0</v>
      </c>
      <c r="C193" s="9" t="str">
        <f ca="1">+WORLDCUP!BD62</f>
        <v>Ivory Coast</v>
      </c>
      <c r="D193" s="9" t="str">
        <f ca="1">+WORLDCUP!BD64</f>
        <v>Iran</v>
      </c>
      <c r="E193" s="9" t="str">
        <f ca="1">+WORLDCUP!BD67</f>
        <v>Austria</v>
      </c>
      <c r="F193" s="9" t="str">
        <f ca="1">+WORLDCUP!BD61</f>
        <v>Australia</v>
      </c>
      <c r="G193" s="9" t="str">
        <f ca="1">+WORLDCUP!BD58</f>
        <v>South Korea</v>
      </c>
      <c r="H193" s="9" t="str">
        <f ca="1">+WORLDCUP!BD63</f>
        <v>Sweden</v>
      </c>
      <c r="I193" s="9" t="str">
        <f ca="1">+WORLDCUP!BD69</f>
        <v>Ghana</v>
      </c>
      <c r="J193" s="9" t="str">
        <f ca="1">+WORLDCUP!BD68</f>
        <v>Uzbekistan</v>
      </c>
      <c r="N193" s="16" t="s">
        <v>1049</v>
      </c>
      <c r="O193" s="16">
        <v>192</v>
      </c>
      <c r="P193" s="16" t="s">
        <v>94</v>
      </c>
      <c r="Q193" s="16" t="s">
        <v>445</v>
      </c>
      <c r="R193" s="16" t="s">
        <v>451</v>
      </c>
      <c r="S193" s="16" t="s">
        <v>93</v>
      </c>
      <c r="T193" s="16" t="s">
        <v>90</v>
      </c>
      <c r="U193" s="16" t="s">
        <v>95</v>
      </c>
      <c r="V193" s="16" t="s">
        <v>453</v>
      </c>
      <c r="W193" s="16" t="s">
        <v>452</v>
      </c>
    </row>
    <row r="194" spans="1:23" x14ac:dyDescent="0.2">
      <c r="A194" s="9" t="s">
        <v>1048</v>
      </c>
      <c r="B194" s="9">
        <f ca="1">+IF(A194=WORLDCUP!$BI$112,1,0)</f>
        <v>0</v>
      </c>
      <c r="C194" s="9" t="str">
        <f ca="1">+WORLDCUP!BD62</f>
        <v>Ivory Coast</v>
      </c>
      <c r="D194" s="9" t="str">
        <f ca="1">+WORLDCUP!BD64</f>
        <v>Iran</v>
      </c>
      <c r="E194" s="9" t="str">
        <f ca="1">+WORLDCUP!BD66</f>
        <v>Iraq</v>
      </c>
      <c r="F194" s="9" t="str">
        <f ca="1">+WORLDCUP!BD61</f>
        <v>Australia</v>
      </c>
      <c r="G194" s="9" t="str">
        <f ca="1">+WORLDCUP!BD58</f>
        <v>South Korea</v>
      </c>
      <c r="H194" s="9" t="str">
        <f ca="1">+WORLDCUP!BD63</f>
        <v>Sweden</v>
      </c>
      <c r="I194" s="9" t="str">
        <f ca="1">+WORLDCUP!BD69</f>
        <v>Ghana</v>
      </c>
      <c r="J194" s="9" t="str">
        <f ca="1">+WORLDCUP!BD68</f>
        <v>Uzbekistan</v>
      </c>
      <c r="N194" s="16" t="s">
        <v>1048</v>
      </c>
      <c r="O194" s="16">
        <v>193</v>
      </c>
      <c r="P194" s="16" t="s">
        <v>94</v>
      </c>
      <c r="Q194" s="16" t="s">
        <v>445</v>
      </c>
      <c r="R194" s="16" t="s">
        <v>450</v>
      </c>
      <c r="S194" s="16" t="s">
        <v>93</v>
      </c>
      <c r="T194" s="16" t="s">
        <v>90</v>
      </c>
      <c r="U194" s="16" t="s">
        <v>95</v>
      </c>
      <c r="V194" s="16" t="s">
        <v>453</v>
      </c>
      <c r="W194" s="16" t="s">
        <v>452</v>
      </c>
    </row>
    <row r="195" spans="1:23" x14ac:dyDescent="0.2">
      <c r="A195" s="9" t="s">
        <v>1047</v>
      </c>
      <c r="B195" s="9">
        <f ca="1">+IF(A195=WORLDCUP!$BI$112,1,0)</f>
        <v>0</v>
      </c>
      <c r="C195" s="9" t="str">
        <f ca="1">+WORLDCUP!BD62</f>
        <v>Ivory Coast</v>
      </c>
      <c r="D195" s="9" t="str">
        <f ca="1">+WORLDCUP!BD64</f>
        <v>Iran</v>
      </c>
      <c r="E195" s="9" t="str">
        <f ca="1">+WORLDCUP!BD67</f>
        <v>Austria</v>
      </c>
      <c r="F195" s="9" t="str">
        <f ca="1">+WORLDCUP!BD61</f>
        <v>Australia</v>
      </c>
      <c r="G195" s="9" t="str">
        <f ca="1">+WORLDCUP!BD58</f>
        <v>South Korea</v>
      </c>
      <c r="H195" s="9" t="str">
        <f ca="1">+WORLDCUP!BD63</f>
        <v>Sweden</v>
      </c>
      <c r="I195" s="9" t="str">
        <f ca="1">+WORLDCUP!BD69</f>
        <v>Ghana</v>
      </c>
      <c r="J195" s="9" t="str">
        <f ca="1">+WORLDCUP!BD66</f>
        <v>Iraq</v>
      </c>
      <c r="N195" s="16" t="s">
        <v>1047</v>
      </c>
      <c r="O195" s="16">
        <v>194</v>
      </c>
      <c r="P195" s="16" t="s">
        <v>94</v>
      </c>
      <c r="Q195" s="16" t="s">
        <v>445</v>
      </c>
      <c r="R195" s="16" t="s">
        <v>451</v>
      </c>
      <c r="S195" s="16" t="s">
        <v>93</v>
      </c>
      <c r="T195" s="16" t="s">
        <v>90</v>
      </c>
      <c r="U195" s="16" t="s">
        <v>95</v>
      </c>
      <c r="V195" s="16" t="s">
        <v>453</v>
      </c>
      <c r="W195" s="16" t="s">
        <v>450</v>
      </c>
    </row>
    <row r="196" spans="1:23" x14ac:dyDescent="0.2">
      <c r="A196" s="9" t="s">
        <v>1046</v>
      </c>
      <c r="B196" s="9">
        <f ca="1">+IF(A196=WORLDCUP!$BI$112,1,0)</f>
        <v>0</v>
      </c>
      <c r="C196" s="9" t="str">
        <f ca="1">+WORLDCUP!BD62</f>
        <v>Ivory Coast</v>
      </c>
      <c r="D196" s="9" t="str">
        <f ca="1">+WORLDCUP!BD64</f>
        <v>Iran</v>
      </c>
      <c r="E196" s="9" t="str">
        <f ca="1">+WORLDCUP!BD67</f>
        <v>Austria</v>
      </c>
      <c r="F196" s="9" t="str">
        <f ca="1">+WORLDCUP!BD61</f>
        <v>Australia</v>
      </c>
      <c r="G196" s="9" t="str">
        <f ca="1">+WORLDCUP!BD58</f>
        <v>South Korea</v>
      </c>
      <c r="H196" s="9" t="str">
        <f ca="1">+WORLDCUP!BD63</f>
        <v>Sweden</v>
      </c>
      <c r="I196" s="9" t="str">
        <f ca="1">+WORLDCUP!BD66</f>
        <v>Iraq</v>
      </c>
      <c r="J196" s="9" t="str">
        <f ca="1">+WORLDCUP!BD68</f>
        <v>Uzbekistan</v>
      </c>
      <c r="N196" s="16" t="s">
        <v>1046</v>
      </c>
      <c r="O196" s="16">
        <v>195</v>
      </c>
      <c r="P196" s="16" t="s">
        <v>94</v>
      </c>
      <c r="Q196" s="16" t="s">
        <v>445</v>
      </c>
      <c r="R196" s="16" t="s">
        <v>451</v>
      </c>
      <c r="S196" s="16" t="s">
        <v>93</v>
      </c>
      <c r="T196" s="16" t="s">
        <v>90</v>
      </c>
      <c r="U196" s="16" t="s">
        <v>95</v>
      </c>
      <c r="V196" s="16" t="s">
        <v>450</v>
      </c>
      <c r="W196" s="16" t="s">
        <v>452</v>
      </c>
    </row>
    <row r="197" spans="1:23" x14ac:dyDescent="0.2">
      <c r="A197" s="9" t="s">
        <v>603</v>
      </c>
      <c r="B197" s="9">
        <f ca="1">+IF(A197=WORLDCUP!$BI$112,1,0)</f>
        <v>0</v>
      </c>
      <c r="C197" s="9" t="str">
        <f ca="1">+WORLDCUP!BD65</f>
        <v>Saudi Arabia</v>
      </c>
      <c r="D197" s="9" t="str">
        <f ca="1">+WORLDCUP!BD64</f>
        <v>Iran</v>
      </c>
      <c r="E197" s="9" t="str">
        <f ca="1">+WORLDCUP!BD62</f>
        <v>Ivory Coast</v>
      </c>
      <c r="F197" s="9" t="str">
        <f ca="1">+WORLDCUP!BD61</f>
        <v>Australia</v>
      </c>
      <c r="G197" s="9" t="str">
        <f ca="1">+WORLDCUP!BD58</f>
        <v>South Korea</v>
      </c>
      <c r="H197" s="9" t="str">
        <f ca="1">+WORLDCUP!BD63</f>
        <v>Sweden</v>
      </c>
      <c r="I197" s="9" t="str">
        <f ca="1">+WORLDCUP!BD69</f>
        <v>Ghana</v>
      </c>
      <c r="J197" s="9" t="str">
        <f ca="1">+WORLDCUP!BD68</f>
        <v>Uzbekistan</v>
      </c>
      <c r="N197" s="16" t="s">
        <v>603</v>
      </c>
      <c r="O197" s="16">
        <v>196</v>
      </c>
      <c r="P197" s="16" t="s">
        <v>446</v>
      </c>
      <c r="Q197" s="16" t="s">
        <v>445</v>
      </c>
      <c r="R197" s="16" t="s">
        <v>94</v>
      </c>
      <c r="S197" s="16" t="s">
        <v>93</v>
      </c>
      <c r="T197" s="16" t="s">
        <v>90</v>
      </c>
      <c r="U197" s="16" t="s">
        <v>95</v>
      </c>
      <c r="V197" s="16" t="s">
        <v>453</v>
      </c>
      <c r="W197" s="16" t="s">
        <v>452</v>
      </c>
    </row>
    <row r="198" spans="1:23" x14ac:dyDescent="0.2">
      <c r="A198" s="9" t="s">
        <v>602</v>
      </c>
      <c r="B198" s="9">
        <f ca="1">+IF(A198=WORLDCUP!$BI$112,1,0)</f>
        <v>0</v>
      </c>
      <c r="C198" s="9" t="str">
        <f ca="1">+WORLDCUP!BD65</f>
        <v>Saudi Arabia</v>
      </c>
      <c r="D198" s="9" t="str">
        <f ca="1">+WORLDCUP!BD64</f>
        <v>Iran</v>
      </c>
      <c r="E198" s="9" t="str">
        <f ca="1">+WORLDCUP!BD67</f>
        <v>Austria</v>
      </c>
      <c r="F198" s="9" t="str">
        <f ca="1">+WORLDCUP!BD61</f>
        <v>Australia</v>
      </c>
      <c r="G198" s="9" t="str">
        <f ca="1">+WORLDCUP!BD58</f>
        <v>South Korea</v>
      </c>
      <c r="H198" s="9" t="str">
        <f ca="1">+WORLDCUP!BD63</f>
        <v>Sweden</v>
      </c>
      <c r="I198" s="9" t="str">
        <f ca="1">+WORLDCUP!BD69</f>
        <v>Ghana</v>
      </c>
      <c r="J198" s="9" t="str">
        <f ca="1">+WORLDCUP!BD62</f>
        <v>Ivory Coast</v>
      </c>
      <c r="N198" s="16" t="s">
        <v>602</v>
      </c>
      <c r="O198" s="16">
        <v>197</v>
      </c>
      <c r="P198" s="16" t="s">
        <v>446</v>
      </c>
      <c r="Q198" s="16" t="s">
        <v>445</v>
      </c>
      <c r="R198" s="16" t="s">
        <v>451</v>
      </c>
      <c r="S198" s="16" t="s">
        <v>93</v>
      </c>
      <c r="T198" s="16" t="s">
        <v>90</v>
      </c>
      <c r="U198" s="16" t="s">
        <v>95</v>
      </c>
      <c r="V198" s="16" t="s">
        <v>453</v>
      </c>
      <c r="W198" s="16" t="s">
        <v>94</v>
      </c>
    </row>
    <row r="199" spans="1:23" x14ac:dyDescent="0.2">
      <c r="A199" s="9" t="s">
        <v>601</v>
      </c>
      <c r="B199" s="9">
        <f ca="1">+IF(A199=WORLDCUP!$BI$112,1,0)</f>
        <v>0</v>
      </c>
      <c r="C199" s="9" t="str">
        <f ca="1">+WORLDCUP!BD65</f>
        <v>Saudi Arabia</v>
      </c>
      <c r="D199" s="9" t="str">
        <f ca="1">+WORLDCUP!BD64</f>
        <v>Iran</v>
      </c>
      <c r="E199" s="9" t="str">
        <f ca="1">+WORLDCUP!BD67</f>
        <v>Austria</v>
      </c>
      <c r="F199" s="9" t="str">
        <f ca="1">+WORLDCUP!BD61</f>
        <v>Australia</v>
      </c>
      <c r="G199" s="9" t="str">
        <f ca="1">+WORLDCUP!BD58</f>
        <v>South Korea</v>
      </c>
      <c r="H199" s="9" t="str">
        <f ca="1">+WORLDCUP!BD63</f>
        <v>Sweden</v>
      </c>
      <c r="I199" s="9" t="str">
        <f ca="1">+WORLDCUP!BD62</f>
        <v>Ivory Coast</v>
      </c>
      <c r="J199" s="9" t="str">
        <f ca="1">+WORLDCUP!BD68</f>
        <v>Uzbekistan</v>
      </c>
      <c r="N199" s="16" t="s">
        <v>601</v>
      </c>
      <c r="O199" s="16">
        <v>198</v>
      </c>
      <c r="P199" s="16" t="s">
        <v>446</v>
      </c>
      <c r="Q199" s="16" t="s">
        <v>445</v>
      </c>
      <c r="R199" s="16" t="s">
        <v>451</v>
      </c>
      <c r="S199" s="16" t="s">
        <v>93</v>
      </c>
      <c r="T199" s="16" t="s">
        <v>90</v>
      </c>
      <c r="U199" s="16" t="s">
        <v>95</v>
      </c>
      <c r="V199" s="16" t="s">
        <v>94</v>
      </c>
      <c r="W199" s="16" t="s">
        <v>452</v>
      </c>
    </row>
    <row r="200" spans="1:23" x14ac:dyDescent="0.2">
      <c r="A200" s="9" t="s">
        <v>600</v>
      </c>
      <c r="B200" s="9">
        <f ca="1">+IF(A200=WORLDCUP!$BI$112,1,0)</f>
        <v>0</v>
      </c>
      <c r="C200" s="9" t="str">
        <f ca="1">+WORLDCUP!BD65</f>
        <v>Saudi Arabia</v>
      </c>
      <c r="D200" s="9" t="str">
        <f ca="1">+WORLDCUP!BD64</f>
        <v>Iran</v>
      </c>
      <c r="E200" s="9" t="str">
        <f ca="1">+WORLDCUP!BD62</f>
        <v>Ivory Coast</v>
      </c>
      <c r="F200" s="9" t="str">
        <f ca="1">+WORLDCUP!BD61</f>
        <v>Australia</v>
      </c>
      <c r="G200" s="9" t="str">
        <f ca="1">+WORLDCUP!BD58</f>
        <v>South Korea</v>
      </c>
      <c r="H200" s="9" t="str">
        <f ca="1">+WORLDCUP!BD63</f>
        <v>Sweden</v>
      </c>
      <c r="I200" s="9" t="str">
        <f ca="1">+WORLDCUP!BD69</f>
        <v>Ghana</v>
      </c>
      <c r="J200" s="9" t="str">
        <f ca="1">+WORLDCUP!BD66</f>
        <v>Iraq</v>
      </c>
      <c r="N200" s="16" t="s">
        <v>600</v>
      </c>
      <c r="O200" s="16">
        <v>199</v>
      </c>
      <c r="P200" s="16" t="s">
        <v>446</v>
      </c>
      <c r="Q200" s="16" t="s">
        <v>445</v>
      </c>
      <c r="R200" s="16" t="s">
        <v>94</v>
      </c>
      <c r="S200" s="16" t="s">
        <v>93</v>
      </c>
      <c r="T200" s="16" t="s">
        <v>90</v>
      </c>
      <c r="U200" s="16" t="s">
        <v>95</v>
      </c>
      <c r="V200" s="16" t="s">
        <v>453</v>
      </c>
      <c r="W200" s="16" t="s">
        <v>450</v>
      </c>
    </row>
    <row r="201" spans="1:23" x14ac:dyDescent="0.2">
      <c r="A201" s="9" t="s">
        <v>599</v>
      </c>
      <c r="B201" s="9">
        <f ca="1">+IF(A201=WORLDCUP!$BI$112,1,0)</f>
        <v>0</v>
      </c>
      <c r="C201" s="9" t="str">
        <f ca="1">+WORLDCUP!BD65</f>
        <v>Saudi Arabia</v>
      </c>
      <c r="D201" s="9" t="str">
        <f ca="1">+WORLDCUP!BD64</f>
        <v>Iran</v>
      </c>
      <c r="E201" s="9" t="str">
        <f ca="1">+WORLDCUP!BD62</f>
        <v>Ivory Coast</v>
      </c>
      <c r="F201" s="9" t="str">
        <f ca="1">+WORLDCUP!BD61</f>
        <v>Australia</v>
      </c>
      <c r="G201" s="9" t="str">
        <f ca="1">+WORLDCUP!BD58</f>
        <v>South Korea</v>
      </c>
      <c r="H201" s="9" t="str">
        <f ca="1">+WORLDCUP!BD63</f>
        <v>Sweden</v>
      </c>
      <c r="I201" s="9" t="str">
        <f ca="1">+WORLDCUP!BD66</f>
        <v>Iraq</v>
      </c>
      <c r="J201" s="9" t="str">
        <f ca="1">+WORLDCUP!BD68</f>
        <v>Uzbekistan</v>
      </c>
      <c r="N201" s="16" t="s">
        <v>599</v>
      </c>
      <c r="O201" s="16">
        <v>200</v>
      </c>
      <c r="P201" s="16" t="s">
        <v>446</v>
      </c>
      <c r="Q201" s="16" t="s">
        <v>445</v>
      </c>
      <c r="R201" s="16" t="s">
        <v>94</v>
      </c>
      <c r="S201" s="16" t="s">
        <v>93</v>
      </c>
      <c r="T201" s="16" t="s">
        <v>90</v>
      </c>
      <c r="U201" s="16" t="s">
        <v>95</v>
      </c>
      <c r="V201" s="16" t="s">
        <v>450</v>
      </c>
      <c r="W201" s="16" t="s">
        <v>452</v>
      </c>
    </row>
    <row r="202" spans="1:23" x14ac:dyDescent="0.2">
      <c r="A202" s="9" t="s">
        <v>598</v>
      </c>
      <c r="B202" s="9">
        <f ca="1">+IF(A202=WORLDCUP!$BI$112,1,0)</f>
        <v>0</v>
      </c>
      <c r="C202" s="9" t="str">
        <f ca="1">+WORLDCUP!BD65</f>
        <v>Saudi Arabia</v>
      </c>
      <c r="D202" s="9" t="str">
        <f ca="1">+WORLDCUP!BD64</f>
        <v>Iran</v>
      </c>
      <c r="E202" s="9" t="str">
        <f ca="1">+WORLDCUP!BD67</f>
        <v>Austria</v>
      </c>
      <c r="F202" s="9" t="str">
        <f ca="1">+WORLDCUP!BD61</f>
        <v>Australia</v>
      </c>
      <c r="G202" s="9" t="str">
        <f ca="1">+WORLDCUP!BD58</f>
        <v>South Korea</v>
      </c>
      <c r="H202" s="9" t="str">
        <f ca="1">+WORLDCUP!BD63</f>
        <v>Sweden</v>
      </c>
      <c r="I202" s="9" t="str">
        <f ca="1">+WORLDCUP!BD62</f>
        <v>Ivory Coast</v>
      </c>
      <c r="J202" s="9" t="str">
        <f ca="1">+WORLDCUP!BD66</f>
        <v>Iraq</v>
      </c>
      <c r="N202" s="16" t="s">
        <v>598</v>
      </c>
      <c r="O202" s="16">
        <v>201</v>
      </c>
      <c r="P202" s="16" t="s">
        <v>446</v>
      </c>
      <c r="Q202" s="16" t="s">
        <v>445</v>
      </c>
      <c r="R202" s="16" t="s">
        <v>451</v>
      </c>
      <c r="S202" s="16" t="s">
        <v>93</v>
      </c>
      <c r="T202" s="16" t="s">
        <v>90</v>
      </c>
      <c r="U202" s="16" t="s">
        <v>95</v>
      </c>
      <c r="V202" s="16" t="s">
        <v>94</v>
      </c>
      <c r="W202" s="16" t="s">
        <v>450</v>
      </c>
    </row>
    <row r="203" spans="1:23" x14ac:dyDescent="0.2">
      <c r="A203" s="9" t="s">
        <v>1045</v>
      </c>
      <c r="B203" s="9">
        <f ca="1">+IF(A203=WORLDCUP!$BI$112,1,0)</f>
        <v>0</v>
      </c>
      <c r="C203" s="9" t="str">
        <f ca="1">+WORLDCUP!BD65</f>
        <v>Saudi Arabia</v>
      </c>
      <c r="D203" s="9" t="str">
        <f ca="1">+WORLDCUP!BD67</f>
        <v>Austria</v>
      </c>
      <c r="E203" s="9" t="str">
        <f ca="1">+WORLDCUP!BD66</f>
        <v>Iraq</v>
      </c>
      <c r="F203" s="9" t="str">
        <f ca="1">+WORLDCUP!BD60</f>
        <v>Haiti</v>
      </c>
      <c r="G203" s="9" t="str">
        <f ca="1">+WORLDCUP!BD58</f>
        <v>South Korea</v>
      </c>
      <c r="H203" s="9" t="str">
        <f ca="1">+WORLDCUP!BD64</f>
        <v>Iran</v>
      </c>
      <c r="I203" s="9" t="str">
        <f ca="1">+WORLDCUP!BD69</f>
        <v>Ghana</v>
      </c>
      <c r="J203" s="9" t="str">
        <f ca="1">+WORLDCUP!BD68</f>
        <v>Uzbekistan</v>
      </c>
      <c r="N203" s="16" t="s">
        <v>1045</v>
      </c>
      <c r="O203" s="16">
        <v>202</v>
      </c>
      <c r="P203" s="16" t="s">
        <v>446</v>
      </c>
      <c r="Q203" s="16" t="s">
        <v>451</v>
      </c>
      <c r="R203" s="16" t="s">
        <v>450</v>
      </c>
      <c r="S203" s="16" t="s">
        <v>92</v>
      </c>
      <c r="T203" s="16" t="s">
        <v>90</v>
      </c>
      <c r="U203" s="16" t="s">
        <v>445</v>
      </c>
      <c r="V203" s="16" t="s">
        <v>453</v>
      </c>
      <c r="W203" s="16" t="s">
        <v>452</v>
      </c>
    </row>
    <row r="204" spans="1:23" x14ac:dyDescent="0.2">
      <c r="A204" s="9" t="s">
        <v>1044</v>
      </c>
      <c r="B204" s="9">
        <f ca="1">+IF(A204=WORLDCUP!$BI$112,1,0)</f>
        <v>0</v>
      </c>
      <c r="C204" s="9" t="str">
        <f ca="1">+WORLDCUP!BD65</f>
        <v>Saudi Arabia</v>
      </c>
      <c r="D204" s="9" t="str">
        <f ca="1">+WORLDCUP!BD67</f>
        <v>Austria</v>
      </c>
      <c r="E204" s="9" t="str">
        <f ca="1">+WORLDCUP!BD66</f>
        <v>Iraq</v>
      </c>
      <c r="F204" s="9" t="str">
        <f ca="1">+WORLDCUP!BD60</f>
        <v>Haiti</v>
      </c>
      <c r="G204" s="9" t="str">
        <f ca="1">+WORLDCUP!BD58</f>
        <v>South Korea</v>
      </c>
      <c r="H204" s="9" t="str">
        <f ca="1">+WORLDCUP!BD63</f>
        <v>Sweden</v>
      </c>
      <c r="I204" s="9" t="str">
        <f ca="1">+WORLDCUP!BD69</f>
        <v>Ghana</v>
      </c>
      <c r="J204" s="9" t="str">
        <f ca="1">+WORLDCUP!BD68</f>
        <v>Uzbekistan</v>
      </c>
      <c r="N204" s="16" t="s">
        <v>1044</v>
      </c>
      <c r="O204" s="16">
        <v>203</v>
      </c>
      <c r="P204" s="16" t="s">
        <v>446</v>
      </c>
      <c r="Q204" s="16" t="s">
        <v>451</v>
      </c>
      <c r="R204" s="16" t="s">
        <v>450</v>
      </c>
      <c r="S204" s="16" t="s">
        <v>92</v>
      </c>
      <c r="T204" s="16" t="s">
        <v>90</v>
      </c>
      <c r="U204" s="16" t="s">
        <v>95</v>
      </c>
      <c r="V204" s="16" t="s">
        <v>453</v>
      </c>
      <c r="W204" s="16" t="s">
        <v>452</v>
      </c>
    </row>
    <row r="205" spans="1:23" x14ac:dyDescent="0.2">
      <c r="A205" s="9" t="s">
        <v>1043</v>
      </c>
      <c r="B205" s="9">
        <f ca="1">+IF(A205=WORLDCUP!$BI$112,1,0)</f>
        <v>0</v>
      </c>
      <c r="C205" s="9" t="str">
        <f ca="1">+WORLDCUP!BD66</f>
        <v>Iraq</v>
      </c>
      <c r="D205" s="9" t="str">
        <f ca="1">+WORLDCUP!BD64</f>
        <v>Iran</v>
      </c>
      <c r="E205" s="9" t="str">
        <f ca="1">+WORLDCUP!BD67</f>
        <v>Austria</v>
      </c>
      <c r="F205" s="9" t="str">
        <f ca="1">+WORLDCUP!BD60</f>
        <v>Haiti</v>
      </c>
      <c r="G205" s="9" t="str">
        <f ca="1">+WORLDCUP!BD58</f>
        <v>South Korea</v>
      </c>
      <c r="H205" s="9" t="str">
        <f ca="1">+WORLDCUP!BD63</f>
        <v>Sweden</v>
      </c>
      <c r="I205" s="9" t="str">
        <f ca="1">+WORLDCUP!BD69</f>
        <v>Ghana</v>
      </c>
      <c r="J205" s="9" t="str">
        <f ca="1">+WORLDCUP!BD68</f>
        <v>Uzbekistan</v>
      </c>
      <c r="N205" s="16" t="s">
        <v>1043</v>
      </c>
      <c r="O205" s="16">
        <v>204</v>
      </c>
      <c r="P205" s="16" t="s">
        <v>450</v>
      </c>
      <c r="Q205" s="16" t="s">
        <v>445</v>
      </c>
      <c r="R205" s="16" t="s">
        <v>451</v>
      </c>
      <c r="S205" s="16" t="s">
        <v>92</v>
      </c>
      <c r="T205" s="16" t="s">
        <v>90</v>
      </c>
      <c r="U205" s="16" t="s">
        <v>95</v>
      </c>
      <c r="V205" s="16" t="s">
        <v>453</v>
      </c>
      <c r="W205" s="16" t="s">
        <v>452</v>
      </c>
    </row>
    <row r="206" spans="1:23" x14ac:dyDescent="0.2">
      <c r="A206" s="9" t="s">
        <v>1042</v>
      </c>
      <c r="B206" s="9">
        <f ca="1">+IF(A206=WORLDCUP!$BI$112,1,0)</f>
        <v>0</v>
      </c>
      <c r="C206" s="9" t="str">
        <f ca="1">+WORLDCUP!BD65</f>
        <v>Saudi Arabia</v>
      </c>
      <c r="D206" s="9" t="str">
        <f ca="1">+WORLDCUP!BD64</f>
        <v>Iran</v>
      </c>
      <c r="E206" s="9" t="str">
        <f ca="1">+WORLDCUP!BD67</f>
        <v>Austria</v>
      </c>
      <c r="F206" s="9" t="str">
        <f ca="1">+WORLDCUP!BD60</f>
        <v>Haiti</v>
      </c>
      <c r="G206" s="9" t="str">
        <f ca="1">+WORLDCUP!BD58</f>
        <v>South Korea</v>
      </c>
      <c r="H206" s="9" t="str">
        <f ca="1">+WORLDCUP!BD63</f>
        <v>Sweden</v>
      </c>
      <c r="I206" s="9" t="str">
        <f ca="1">+WORLDCUP!BD69</f>
        <v>Ghana</v>
      </c>
      <c r="J206" s="9" t="str">
        <f ca="1">+WORLDCUP!BD68</f>
        <v>Uzbekistan</v>
      </c>
      <c r="N206" s="16" t="s">
        <v>1042</v>
      </c>
      <c r="O206" s="16">
        <v>205</v>
      </c>
      <c r="P206" s="16" t="s">
        <v>446</v>
      </c>
      <c r="Q206" s="16" t="s">
        <v>445</v>
      </c>
      <c r="R206" s="16" t="s">
        <v>451</v>
      </c>
      <c r="S206" s="16" t="s">
        <v>92</v>
      </c>
      <c r="T206" s="16" t="s">
        <v>90</v>
      </c>
      <c r="U206" s="16" t="s">
        <v>95</v>
      </c>
      <c r="V206" s="16" t="s">
        <v>453</v>
      </c>
      <c r="W206" s="16" t="s">
        <v>452</v>
      </c>
    </row>
    <row r="207" spans="1:23" x14ac:dyDescent="0.2">
      <c r="A207" s="9" t="s">
        <v>1041</v>
      </c>
      <c r="B207" s="9">
        <f ca="1">+IF(A207=WORLDCUP!$BI$112,1,0)</f>
        <v>0</v>
      </c>
      <c r="C207" s="9" t="str">
        <f ca="1">+WORLDCUP!BD65</f>
        <v>Saudi Arabia</v>
      </c>
      <c r="D207" s="9" t="str">
        <f ca="1">+WORLDCUP!BD64</f>
        <v>Iran</v>
      </c>
      <c r="E207" s="9" t="str">
        <f ca="1">+WORLDCUP!BD66</f>
        <v>Iraq</v>
      </c>
      <c r="F207" s="9" t="str">
        <f ca="1">+WORLDCUP!BD60</f>
        <v>Haiti</v>
      </c>
      <c r="G207" s="9" t="str">
        <f ca="1">+WORLDCUP!BD58</f>
        <v>South Korea</v>
      </c>
      <c r="H207" s="9" t="str">
        <f ca="1">+WORLDCUP!BD63</f>
        <v>Sweden</v>
      </c>
      <c r="I207" s="9" t="str">
        <f ca="1">+WORLDCUP!BD69</f>
        <v>Ghana</v>
      </c>
      <c r="J207" s="9" t="str">
        <f ca="1">+WORLDCUP!BD68</f>
        <v>Uzbekistan</v>
      </c>
      <c r="N207" s="16" t="s">
        <v>1041</v>
      </c>
      <c r="O207" s="16">
        <v>206</v>
      </c>
      <c r="P207" s="16" t="s">
        <v>446</v>
      </c>
      <c r="Q207" s="16" t="s">
        <v>445</v>
      </c>
      <c r="R207" s="16" t="s">
        <v>450</v>
      </c>
      <c r="S207" s="16" t="s">
        <v>92</v>
      </c>
      <c r="T207" s="16" t="s">
        <v>90</v>
      </c>
      <c r="U207" s="16" t="s">
        <v>95</v>
      </c>
      <c r="V207" s="16" t="s">
        <v>453</v>
      </c>
      <c r="W207" s="16" t="s">
        <v>452</v>
      </c>
    </row>
    <row r="208" spans="1:23" x14ac:dyDescent="0.2">
      <c r="A208" s="9" t="s">
        <v>1040</v>
      </c>
      <c r="B208" s="9">
        <f ca="1">+IF(A208=WORLDCUP!$BI$112,1,0)</f>
        <v>0</v>
      </c>
      <c r="C208" s="9" t="str">
        <f ca="1">+WORLDCUP!BD65</f>
        <v>Saudi Arabia</v>
      </c>
      <c r="D208" s="9" t="str">
        <f ca="1">+WORLDCUP!BD64</f>
        <v>Iran</v>
      </c>
      <c r="E208" s="9" t="str">
        <f ca="1">+WORLDCUP!BD67</f>
        <v>Austria</v>
      </c>
      <c r="F208" s="9" t="str">
        <f ca="1">+WORLDCUP!BD60</f>
        <v>Haiti</v>
      </c>
      <c r="G208" s="9" t="str">
        <f ca="1">+WORLDCUP!BD58</f>
        <v>South Korea</v>
      </c>
      <c r="H208" s="9" t="str">
        <f ca="1">+WORLDCUP!BD63</f>
        <v>Sweden</v>
      </c>
      <c r="I208" s="9" t="str">
        <f ca="1">+WORLDCUP!BD69</f>
        <v>Ghana</v>
      </c>
      <c r="J208" s="9" t="str">
        <f ca="1">+WORLDCUP!BD66</f>
        <v>Iraq</v>
      </c>
      <c r="N208" s="16" t="s">
        <v>1040</v>
      </c>
      <c r="O208" s="16">
        <v>207</v>
      </c>
      <c r="P208" s="16" t="s">
        <v>446</v>
      </c>
      <c r="Q208" s="16" t="s">
        <v>445</v>
      </c>
      <c r="R208" s="16" t="s">
        <v>451</v>
      </c>
      <c r="S208" s="16" t="s">
        <v>92</v>
      </c>
      <c r="T208" s="16" t="s">
        <v>90</v>
      </c>
      <c r="U208" s="16" t="s">
        <v>95</v>
      </c>
      <c r="V208" s="16" t="s">
        <v>453</v>
      </c>
      <c r="W208" s="16" t="s">
        <v>450</v>
      </c>
    </row>
    <row r="209" spans="1:23" x14ac:dyDescent="0.2">
      <c r="A209" s="9" t="s">
        <v>1039</v>
      </c>
      <c r="B209" s="9">
        <f ca="1">+IF(A209=WORLDCUP!$BI$112,1,0)</f>
        <v>0</v>
      </c>
      <c r="C209" s="9" t="str">
        <f ca="1">+WORLDCUP!BD65</f>
        <v>Saudi Arabia</v>
      </c>
      <c r="D209" s="9" t="str">
        <f ca="1">+WORLDCUP!BD64</f>
        <v>Iran</v>
      </c>
      <c r="E209" s="9" t="str">
        <f ca="1">+WORLDCUP!BD67</f>
        <v>Austria</v>
      </c>
      <c r="F209" s="9" t="str">
        <f ca="1">+WORLDCUP!BD60</f>
        <v>Haiti</v>
      </c>
      <c r="G209" s="9" t="str">
        <f ca="1">+WORLDCUP!BD58</f>
        <v>South Korea</v>
      </c>
      <c r="H209" s="9" t="str">
        <f ca="1">+WORLDCUP!BD63</f>
        <v>Sweden</v>
      </c>
      <c r="I209" s="9" t="str">
        <f ca="1">+WORLDCUP!BD66</f>
        <v>Iraq</v>
      </c>
      <c r="J209" s="9" t="str">
        <f ca="1">+WORLDCUP!BD68</f>
        <v>Uzbekistan</v>
      </c>
      <c r="N209" s="16" t="s">
        <v>1039</v>
      </c>
      <c r="O209" s="16">
        <v>208</v>
      </c>
      <c r="P209" s="16" t="s">
        <v>446</v>
      </c>
      <c r="Q209" s="16" t="s">
        <v>445</v>
      </c>
      <c r="R209" s="16" t="s">
        <v>451</v>
      </c>
      <c r="S209" s="16" t="s">
        <v>92</v>
      </c>
      <c r="T209" s="16" t="s">
        <v>90</v>
      </c>
      <c r="U209" s="16" t="s">
        <v>95</v>
      </c>
      <c r="V209" s="16" t="s">
        <v>450</v>
      </c>
      <c r="W209" s="16" t="s">
        <v>452</v>
      </c>
    </row>
    <row r="210" spans="1:23" x14ac:dyDescent="0.2">
      <c r="A210" s="9" t="s">
        <v>1038</v>
      </c>
      <c r="B210" s="9">
        <f ca="1">+IF(A210=WORLDCUP!$BI$112,1,0)</f>
        <v>0</v>
      </c>
      <c r="C210" s="9" t="str">
        <f ca="1">+WORLDCUP!BD62</f>
        <v>Ivory Coast</v>
      </c>
      <c r="D210" s="9" t="str">
        <f ca="1">+WORLDCUP!BD67</f>
        <v>Austria</v>
      </c>
      <c r="E210" s="9" t="str">
        <f ca="1">+WORLDCUP!BD66</f>
        <v>Iraq</v>
      </c>
      <c r="F210" s="9" t="str">
        <f ca="1">+WORLDCUP!BD60</f>
        <v>Haiti</v>
      </c>
      <c r="G210" s="9" t="str">
        <f ca="1">+WORLDCUP!BD58</f>
        <v>South Korea</v>
      </c>
      <c r="H210" s="9" t="str">
        <f ca="1">+WORLDCUP!BD65</f>
        <v>Saudi Arabia</v>
      </c>
      <c r="I210" s="9" t="str">
        <f ca="1">+WORLDCUP!BD69</f>
        <v>Ghana</v>
      </c>
      <c r="J210" s="9" t="str">
        <f ca="1">+WORLDCUP!BD68</f>
        <v>Uzbekistan</v>
      </c>
      <c r="N210" s="16" t="s">
        <v>1038</v>
      </c>
      <c r="O210" s="16">
        <v>209</v>
      </c>
      <c r="P210" s="16" t="s">
        <v>94</v>
      </c>
      <c r="Q210" s="16" t="s">
        <v>451</v>
      </c>
      <c r="R210" s="16" t="s">
        <v>450</v>
      </c>
      <c r="S210" s="16" t="s">
        <v>92</v>
      </c>
      <c r="T210" s="16" t="s">
        <v>90</v>
      </c>
      <c r="U210" s="16" t="s">
        <v>446</v>
      </c>
      <c r="V210" s="16" t="s">
        <v>453</v>
      </c>
      <c r="W210" s="16" t="s">
        <v>452</v>
      </c>
    </row>
    <row r="211" spans="1:23" x14ac:dyDescent="0.2">
      <c r="A211" s="9" t="s">
        <v>1037</v>
      </c>
      <c r="B211" s="9">
        <f ca="1">+IF(A211=WORLDCUP!$BI$112,1,0)</f>
        <v>0</v>
      </c>
      <c r="C211" s="9" t="str">
        <f ca="1">+WORLDCUP!BD62</f>
        <v>Ivory Coast</v>
      </c>
      <c r="D211" s="9" t="str">
        <f ca="1">+WORLDCUP!BD67</f>
        <v>Austria</v>
      </c>
      <c r="E211" s="9" t="str">
        <f ca="1">+WORLDCUP!BD66</f>
        <v>Iraq</v>
      </c>
      <c r="F211" s="9" t="str">
        <f ca="1">+WORLDCUP!BD60</f>
        <v>Haiti</v>
      </c>
      <c r="G211" s="9" t="str">
        <f ca="1">+WORLDCUP!BD58</f>
        <v>South Korea</v>
      </c>
      <c r="H211" s="9" t="str">
        <f ca="1">+WORLDCUP!BD64</f>
        <v>Iran</v>
      </c>
      <c r="I211" s="9" t="str">
        <f ca="1">+WORLDCUP!BD69</f>
        <v>Ghana</v>
      </c>
      <c r="J211" s="9" t="str">
        <f ca="1">+WORLDCUP!BD68</f>
        <v>Uzbekistan</v>
      </c>
      <c r="N211" s="16" t="s">
        <v>1037</v>
      </c>
      <c r="O211" s="16">
        <v>210</v>
      </c>
      <c r="P211" s="16" t="s">
        <v>94</v>
      </c>
      <c r="Q211" s="16" t="s">
        <v>451</v>
      </c>
      <c r="R211" s="16" t="s">
        <v>450</v>
      </c>
      <c r="S211" s="16" t="s">
        <v>92</v>
      </c>
      <c r="T211" s="16" t="s">
        <v>90</v>
      </c>
      <c r="U211" s="16" t="s">
        <v>445</v>
      </c>
      <c r="V211" s="16" t="s">
        <v>453</v>
      </c>
      <c r="W211" s="16" t="s">
        <v>452</v>
      </c>
    </row>
    <row r="212" spans="1:23" x14ac:dyDescent="0.2">
      <c r="A212" s="9" t="s">
        <v>1036</v>
      </c>
      <c r="B212" s="9">
        <f ca="1">+IF(A212=WORLDCUP!$BI$112,1,0)</f>
        <v>0</v>
      </c>
      <c r="C212" s="9" t="str">
        <f ca="1">+WORLDCUP!BD62</f>
        <v>Ivory Coast</v>
      </c>
      <c r="D212" s="9" t="str">
        <f ca="1">+WORLDCUP!BD64</f>
        <v>Iran</v>
      </c>
      <c r="E212" s="9" t="str">
        <f ca="1">+WORLDCUP!BD67</f>
        <v>Austria</v>
      </c>
      <c r="F212" s="9" t="str">
        <f ca="1">+WORLDCUP!BD60</f>
        <v>Haiti</v>
      </c>
      <c r="G212" s="9" t="str">
        <f ca="1">+WORLDCUP!BD58</f>
        <v>South Korea</v>
      </c>
      <c r="H212" s="9" t="str">
        <f ca="1">+WORLDCUP!BD65</f>
        <v>Saudi Arabia</v>
      </c>
      <c r="I212" s="9" t="str">
        <f ca="1">+WORLDCUP!BD69</f>
        <v>Ghana</v>
      </c>
      <c r="J212" s="9" t="str">
        <f ca="1">+WORLDCUP!BD68</f>
        <v>Uzbekistan</v>
      </c>
      <c r="N212" s="16" t="s">
        <v>1036</v>
      </c>
      <c r="O212" s="16">
        <v>211</v>
      </c>
      <c r="P212" s="16" t="s">
        <v>94</v>
      </c>
      <c r="Q212" s="16" t="s">
        <v>445</v>
      </c>
      <c r="R212" s="16" t="s">
        <v>451</v>
      </c>
      <c r="S212" s="16" t="s">
        <v>92</v>
      </c>
      <c r="T212" s="16" t="s">
        <v>90</v>
      </c>
      <c r="U212" s="16" t="s">
        <v>446</v>
      </c>
      <c r="V212" s="16" t="s">
        <v>453</v>
      </c>
      <c r="W212" s="16" t="s">
        <v>452</v>
      </c>
    </row>
    <row r="213" spans="1:23" x14ac:dyDescent="0.2">
      <c r="A213" s="9" t="s">
        <v>1035</v>
      </c>
      <c r="B213" s="9">
        <f ca="1">+IF(A213=WORLDCUP!$BI$112,1,0)</f>
        <v>0</v>
      </c>
      <c r="C213" s="9" t="str">
        <f ca="1">+WORLDCUP!BD62</f>
        <v>Ivory Coast</v>
      </c>
      <c r="D213" s="9" t="str">
        <f ca="1">+WORLDCUP!BD64</f>
        <v>Iran</v>
      </c>
      <c r="E213" s="9" t="str">
        <f ca="1">+WORLDCUP!BD66</f>
        <v>Iraq</v>
      </c>
      <c r="F213" s="9" t="str">
        <f ca="1">+WORLDCUP!BD60</f>
        <v>Haiti</v>
      </c>
      <c r="G213" s="9" t="str">
        <f ca="1">+WORLDCUP!BD58</f>
        <v>South Korea</v>
      </c>
      <c r="H213" s="9" t="str">
        <f ca="1">+WORLDCUP!BD65</f>
        <v>Saudi Arabia</v>
      </c>
      <c r="I213" s="9" t="str">
        <f ca="1">+WORLDCUP!BD69</f>
        <v>Ghana</v>
      </c>
      <c r="J213" s="9" t="str">
        <f ca="1">+WORLDCUP!BD68</f>
        <v>Uzbekistan</v>
      </c>
      <c r="N213" s="16" t="s">
        <v>1035</v>
      </c>
      <c r="O213" s="16">
        <v>212</v>
      </c>
      <c r="P213" s="16" t="s">
        <v>94</v>
      </c>
      <c r="Q213" s="16" t="s">
        <v>445</v>
      </c>
      <c r="R213" s="16" t="s">
        <v>450</v>
      </c>
      <c r="S213" s="16" t="s">
        <v>92</v>
      </c>
      <c r="T213" s="16" t="s">
        <v>90</v>
      </c>
      <c r="U213" s="16" t="s">
        <v>446</v>
      </c>
      <c r="V213" s="16" t="s">
        <v>453</v>
      </c>
      <c r="W213" s="16" t="s">
        <v>452</v>
      </c>
    </row>
    <row r="214" spans="1:23" x14ac:dyDescent="0.2">
      <c r="A214" s="9" t="s">
        <v>1034</v>
      </c>
      <c r="B214" s="9">
        <f ca="1">+IF(A214=WORLDCUP!$BI$112,1,0)</f>
        <v>0</v>
      </c>
      <c r="C214" s="9" t="str">
        <f ca="1">+WORLDCUP!BD62</f>
        <v>Ivory Coast</v>
      </c>
      <c r="D214" s="9" t="str">
        <f ca="1">+WORLDCUP!BD64</f>
        <v>Iran</v>
      </c>
      <c r="E214" s="9" t="str">
        <f ca="1">+WORLDCUP!BD67</f>
        <v>Austria</v>
      </c>
      <c r="F214" s="9" t="str">
        <f ca="1">+WORLDCUP!BD60</f>
        <v>Haiti</v>
      </c>
      <c r="G214" s="9" t="str">
        <f ca="1">+WORLDCUP!BD58</f>
        <v>South Korea</v>
      </c>
      <c r="H214" s="9" t="str">
        <f ca="1">+WORLDCUP!BD65</f>
        <v>Saudi Arabia</v>
      </c>
      <c r="I214" s="9" t="str">
        <f ca="1">+WORLDCUP!BD69</f>
        <v>Ghana</v>
      </c>
      <c r="J214" s="9" t="str">
        <f ca="1">+WORLDCUP!BD66</f>
        <v>Iraq</v>
      </c>
      <c r="N214" s="16" t="s">
        <v>1034</v>
      </c>
      <c r="O214" s="16">
        <v>213</v>
      </c>
      <c r="P214" s="16" t="s">
        <v>94</v>
      </c>
      <c r="Q214" s="16" t="s">
        <v>445</v>
      </c>
      <c r="R214" s="16" t="s">
        <v>451</v>
      </c>
      <c r="S214" s="16" t="s">
        <v>92</v>
      </c>
      <c r="T214" s="16" t="s">
        <v>90</v>
      </c>
      <c r="U214" s="16" t="s">
        <v>446</v>
      </c>
      <c r="V214" s="16" t="s">
        <v>453</v>
      </c>
      <c r="W214" s="16" t="s">
        <v>450</v>
      </c>
    </row>
    <row r="215" spans="1:23" x14ac:dyDescent="0.2">
      <c r="A215" s="9" t="s">
        <v>1033</v>
      </c>
      <c r="B215" s="9">
        <f ca="1">+IF(A215=WORLDCUP!$BI$112,1,0)</f>
        <v>0</v>
      </c>
      <c r="C215" s="9" t="str">
        <f ca="1">+WORLDCUP!BD62</f>
        <v>Ivory Coast</v>
      </c>
      <c r="D215" s="9" t="str">
        <f ca="1">+WORLDCUP!BD64</f>
        <v>Iran</v>
      </c>
      <c r="E215" s="9" t="str">
        <f ca="1">+WORLDCUP!BD67</f>
        <v>Austria</v>
      </c>
      <c r="F215" s="9" t="str">
        <f ca="1">+WORLDCUP!BD60</f>
        <v>Haiti</v>
      </c>
      <c r="G215" s="9" t="str">
        <f ca="1">+WORLDCUP!BD58</f>
        <v>South Korea</v>
      </c>
      <c r="H215" s="9" t="str">
        <f ca="1">+WORLDCUP!BD65</f>
        <v>Saudi Arabia</v>
      </c>
      <c r="I215" s="9" t="str">
        <f ca="1">+WORLDCUP!BD66</f>
        <v>Iraq</v>
      </c>
      <c r="J215" s="9" t="str">
        <f ca="1">+WORLDCUP!BD68</f>
        <v>Uzbekistan</v>
      </c>
      <c r="N215" s="16" t="s">
        <v>1033</v>
      </c>
      <c r="O215" s="16">
        <v>214</v>
      </c>
      <c r="P215" s="16" t="s">
        <v>94</v>
      </c>
      <c r="Q215" s="16" t="s">
        <v>445</v>
      </c>
      <c r="R215" s="16" t="s">
        <v>451</v>
      </c>
      <c r="S215" s="16" t="s">
        <v>92</v>
      </c>
      <c r="T215" s="16" t="s">
        <v>90</v>
      </c>
      <c r="U215" s="16" t="s">
        <v>446</v>
      </c>
      <c r="V215" s="16" t="s">
        <v>450</v>
      </c>
      <c r="W215" s="16" t="s">
        <v>452</v>
      </c>
    </row>
    <row r="216" spans="1:23" x14ac:dyDescent="0.2">
      <c r="A216" s="9" t="s">
        <v>1032</v>
      </c>
      <c r="B216" s="9">
        <f ca="1">+IF(A216=WORLDCUP!$BI$112,1,0)</f>
        <v>0</v>
      </c>
      <c r="C216" s="9" t="str">
        <f ca="1">+WORLDCUP!BD62</f>
        <v>Ivory Coast</v>
      </c>
      <c r="D216" s="9" t="str">
        <f ca="1">+WORLDCUP!BD67</f>
        <v>Austria</v>
      </c>
      <c r="E216" s="9" t="str">
        <f ca="1">+WORLDCUP!BD66</f>
        <v>Iraq</v>
      </c>
      <c r="F216" s="9" t="str">
        <f ca="1">+WORLDCUP!BD60</f>
        <v>Haiti</v>
      </c>
      <c r="G216" s="9" t="str">
        <f ca="1">+WORLDCUP!BD58</f>
        <v>South Korea</v>
      </c>
      <c r="H216" s="9" t="str">
        <f ca="1">+WORLDCUP!BD63</f>
        <v>Sweden</v>
      </c>
      <c r="I216" s="9" t="str">
        <f ca="1">+WORLDCUP!BD69</f>
        <v>Ghana</v>
      </c>
      <c r="J216" s="9" t="str">
        <f ca="1">+WORLDCUP!BD68</f>
        <v>Uzbekistan</v>
      </c>
      <c r="N216" s="16" t="s">
        <v>1032</v>
      </c>
      <c r="O216" s="16">
        <v>215</v>
      </c>
      <c r="P216" s="16" t="s">
        <v>94</v>
      </c>
      <c r="Q216" s="16" t="s">
        <v>451</v>
      </c>
      <c r="R216" s="16" t="s">
        <v>450</v>
      </c>
      <c r="S216" s="16" t="s">
        <v>92</v>
      </c>
      <c r="T216" s="16" t="s">
        <v>90</v>
      </c>
      <c r="U216" s="16" t="s">
        <v>95</v>
      </c>
      <c r="V216" s="16" t="s">
        <v>453</v>
      </c>
      <c r="W216" s="16" t="s">
        <v>452</v>
      </c>
    </row>
    <row r="217" spans="1:23" x14ac:dyDescent="0.2">
      <c r="A217" s="9" t="s">
        <v>1031</v>
      </c>
      <c r="B217" s="9">
        <f ca="1">+IF(A217=WORLDCUP!$BI$112,1,0)</f>
        <v>0</v>
      </c>
      <c r="C217" s="9" t="str">
        <f ca="1">+WORLDCUP!BD65</f>
        <v>Saudi Arabia</v>
      </c>
      <c r="D217" s="9" t="str">
        <f ca="1">+WORLDCUP!BD67</f>
        <v>Austria</v>
      </c>
      <c r="E217" s="9" t="str">
        <f ca="1">+WORLDCUP!BD62</f>
        <v>Ivory Coast</v>
      </c>
      <c r="F217" s="9" t="str">
        <f ca="1">+WORLDCUP!BD60</f>
        <v>Haiti</v>
      </c>
      <c r="G217" s="9" t="str">
        <f ca="1">+WORLDCUP!BD58</f>
        <v>South Korea</v>
      </c>
      <c r="H217" s="9" t="str">
        <f ca="1">+WORLDCUP!BD63</f>
        <v>Sweden</v>
      </c>
      <c r="I217" s="9" t="str">
        <f ca="1">+WORLDCUP!BD69</f>
        <v>Ghana</v>
      </c>
      <c r="J217" s="9" t="str">
        <f ca="1">+WORLDCUP!BD68</f>
        <v>Uzbekistan</v>
      </c>
      <c r="N217" s="16" t="s">
        <v>1031</v>
      </c>
      <c r="O217" s="16">
        <v>216</v>
      </c>
      <c r="P217" s="16" t="s">
        <v>446</v>
      </c>
      <c r="Q217" s="16" t="s">
        <v>451</v>
      </c>
      <c r="R217" s="16" t="s">
        <v>94</v>
      </c>
      <c r="S217" s="16" t="s">
        <v>92</v>
      </c>
      <c r="T217" s="16" t="s">
        <v>90</v>
      </c>
      <c r="U217" s="16" t="s">
        <v>95</v>
      </c>
      <c r="V217" s="16" t="s">
        <v>453</v>
      </c>
      <c r="W217" s="16" t="s">
        <v>452</v>
      </c>
    </row>
    <row r="218" spans="1:23" x14ac:dyDescent="0.2">
      <c r="A218" s="9" t="s">
        <v>1030</v>
      </c>
      <c r="B218" s="9">
        <f ca="1">+IF(A218=WORLDCUP!$BI$112,1,0)</f>
        <v>0</v>
      </c>
      <c r="C218" s="9" t="str">
        <f ca="1">+WORLDCUP!BD65</f>
        <v>Saudi Arabia</v>
      </c>
      <c r="D218" s="9" t="str">
        <f ca="1">+WORLDCUP!BD62</f>
        <v>Ivory Coast</v>
      </c>
      <c r="E218" s="9" t="str">
        <f ca="1">+WORLDCUP!BD66</f>
        <v>Iraq</v>
      </c>
      <c r="F218" s="9" t="str">
        <f ca="1">+WORLDCUP!BD60</f>
        <v>Haiti</v>
      </c>
      <c r="G218" s="9" t="str">
        <f ca="1">+WORLDCUP!BD58</f>
        <v>South Korea</v>
      </c>
      <c r="H218" s="9" t="str">
        <f ca="1">+WORLDCUP!BD63</f>
        <v>Sweden</v>
      </c>
      <c r="I218" s="9" t="str">
        <f ca="1">+WORLDCUP!BD69</f>
        <v>Ghana</v>
      </c>
      <c r="J218" s="9" t="str">
        <f ca="1">+WORLDCUP!BD68</f>
        <v>Uzbekistan</v>
      </c>
      <c r="N218" s="16" t="s">
        <v>1030</v>
      </c>
      <c r="O218" s="16">
        <v>217</v>
      </c>
      <c r="P218" s="16" t="s">
        <v>446</v>
      </c>
      <c r="Q218" s="16" t="s">
        <v>94</v>
      </c>
      <c r="R218" s="16" t="s">
        <v>450</v>
      </c>
      <c r="S218" s="16" t="s">
        <v>92</v>
      </c>
      <c r="T218" s="16" t="s">
        <v>90</v>
      </c>
      <c r="U218" s="16" t="s">
        <v>95</v>
      </c>
      <c r="V218" s="16" t="s">
        <v>453</v>
      </c>
      <c r="W218" s="16" t="s">
        <v>452</v>
      </c>
    </row>
    <row r="219" spans="1:23" x14ac:dyDescent="0.2">
      <c r="A219" s="9" t="s">
        <v>1029</v>
      </c>
      <c r="B219" s="9">
        <f ca="1">+IF(A219=WORLDCUP!$BI$112,1,0)</f>
        <v>0</v>
      </c>
      <c r="C219" s="9" t="str">
        <f ca="1">+WORLDCUP!BD65</f>
        <v>Saudi Arabia</v>
      </c>
      <c r="D219" s="9" t="str">
        <f ca="1">+WORLDCUP!BD67</f>
        <v>Austria</v>
      </c>
      <c r="E219" s="9" t="str">
        <f ca="1">+WORLDCUP!BD62</f>
        <v>Ivory Coast</v>
      </c>
      <c r="F219" s="9" t="str">
        <f ca="1">+WORLDCUP!BD60</f>
        <v>Haiti</v>
      </c>
      <c r="G219" s="9" t="str">
        <f ca="1">+WORLDCUP!BD58</f>
        <v>South Korea</v>
      </c>
      <c r="H219" s="9" t="str">
        <f ca="1">+WORLDCUP!BD63</f>
        <v>Sweden</v>
      </c>
      <c r="I219" s="9" t="str">
        <f ca="1">+WORLDCUP!BD69</f>
        <v>Ghana</v>
      </c>
      <c r="J219" s="9" t="str">
        <f ca="1">+WORLDCUP!BD66</f>
        <v>Iraq</v>
      </c>
      <c r="N219" s="16" t="s">
        <v>1029</v>
      </c>
      <c r="O219" s="16">
        <v>218</v>
      </c>
      <c r="P219" s="16" t="s">
        <v>446</v>
      </c>
      <c r="Q219" s="16" t="s">
        <v>451</v>
      </c>
      <c r="R219" s="16" t="s">
        <v>94</v>
      </c>
      <c r="S219" s="16" t="s">
        <v>92</v>
      </c>
      <c r="T219" s="16" t="s">
        <v>90</v>
      </c>
      <c r="U219" s="16" t="s">
        <v>95</v>
      </c>
      <c r="V219" s="16" t="s">
        <v>453</v>
      </c>
      <c r="W219" s="16" t="s">
        <v>450</v>
      </c>
    </row>
    <row r="220" spans="1:23" x14ac:dyDescent="0.2">
      <c r="A220" s="9" t="s">
        <v>1028</v>
      </c>
      <c r="B220" s="9">
        <f ca="1">+IF(A220=WORLDCUP!$BI$112,1,0)</f>
        <v>0</v>
      </c>
      <c r="C220" s="9" t="str">
        <f ca="1">+WORLDCUP!BD65</f>
        <v>Saudi Arabia</v>
      </c>
      <c r="D220" s="9" t="str">
        <f ca="1">+WORLDCUP!BD67</f>
        <v>Austria</v>
      </c>
      <c r="E220" s="9" t="str">
        <f ca="1">+WORLDCUP!BD62</f>
        <v>Ivory Coast</v>
      </c>
      <c r="F220" s="9" t="str">
        <f ca="1">+WORLDCUP!BD60</f>
        <v>Haiti</v>
      </c>
      <c r="G220" s="9" t="str">
        <f ca="1">+WORLDCUP!BD58</f>
        <v>South Korea</v>
      </c>
      <c r="H220" s="9" t="str">
        <f ca="1">+WORLDCUP!BD63</f>
        <v>Sweden</v>
      </c>
      <c r="I220" s="9" t="str">
        <f ca="1">+WORLDCUP!BD66</f>
        <v>Iraq</v>
      </c>
      <c r="J220" s="9" t="str">
        <f ca="1">+WORLDCUP!BD68</f>
        <v>Uzbekistan</v>
      </c>
      <c r="N220" s="16" t="s">
        <v>1028</v>
      </c>
      <c r="O220" s="16">
        <v>219</v>
      </c>
      <c r="P220" s="16" t="s">
        <v>446</v>
      </c>
      <c r="Q220" s="16" t="s">
        <v>451</v>
      </c>
      <c r="R220" s="16" t="s">
        <v>94</v>
      </c>
      <c r="S220" s="16" t="s">
        <v>92</v>
      </c>
      <c r="T220" s="16" t="s">
        <v>90</v>
      </c>
      <c r="U220" s="16" t="s">
        <v>95</v>
      </c>
      <c r="V220" s="16" t="s">
        <v>450</v>
      </c>
      <c r="W220" s="16" t="s">
        <v>452</v>
      </c>
    </row>
    <row r="221" spans="1:23" x14ac:dyDescent="0.2">
      <c r="A221" s="9" t="s">
        <v>1027</v>
      </c>
      <c r="B221" s="9">
        <f ca="1">+IF(A221=WORLDCUP!$BI$112,1,0)</f>
        <v>0</v>
      </c>
      <c r="C221" s="9" t="str">
        <f ca="1">+WORLDCUP!BD62</f>
        <v>Ivory Coast</v>
      </c>
      <c r="D221" s="9" t="str">
        <f ca="1">+WORLDCUP!BD64</f>
        <v>Iran</v>
      </c>
      <c r="E221" s="9" t="str">
        <f ca="1">+WORLDCUP!BD67</f>
        <v>Austria</v>
      </c>
      <c r="F221" s="9" t="str">
        <f ca="1">+WORLDCUP!BD60</f>
        <v>Haiti</v>
      </c>
      <c r="G221" s="9" t="str">
        <f ca="1">+WORLDCUP!BD58</f>
        <v>South Korea</v>
      </c>
      <c r="H221" s="9" t="str">
        <f ca="1">+WORLDCUP!BD63</f>
        <v>Sweden</v>
      </c>
      <c r="I221" s="9" t="str">
        <f ca="1">+WORLDCUP!BD69</f>
        <v>Ghana</v>
      </c>
      <c r="J221" s="9" t="str">
        <f ca="1">+WORLDCUP!BD68</f>
        <v>Uzbekistan</v>
      </c>
      <c r="N221" s="16" t="s">
        <v>1027</v>
      </c>
      <c r="O221" s="16">
        <v>220</v>
      </c>
      <c r="P221" s="16" t="s">
        <v>94</v>
      </c>
      <c r="Q221" s="16" t="s">
        <v>445</v>
      </c>
      <c r="R221" s="16" t="s">
        <v>451</v>
      </c>
      <c r="S221" s="16" t="s">
        <v>92</v>
      </c>
      <c r="T221" s="16" t="s">
        <v>90</v>
      </c>
      <c r="U221" s="16" t="s">
        <v>95</v>
      </c>
      <c r="V221" s="16" t="s">
        <v>453</v>
      </c>
      <c r="W221" s="16" t="s">
        <v>452</v>
      </c>
    </row>
    <row r="222" spans="1:23" x14ac:dyDescent="0.2">
      <c r="A222" s="9" t="s">
        <v>1026</v>
      </c>
      <c r="B222" s="9">
        <f ca="1">+IF(A222=WORLDCUP!$BI$112,1,0)</f>
        <v>0</v>
      </c>
      <c r="C222" s="9" t="str">
        <f ca="1">+WORLDCUP!BD62</f>
        <v>Ivory Coast</v>
      </c>
      <c r="D222" s="9" t="str">
        <f ca="1">+WORLDCUP!BD64</f>
        <v>Iran</v>
      </c>
      <c r="E222" s="9" t="str">
        <f ca="1">+WORLDCUP!BD66</f>
        <v>Iraq</v>
      </c>
      <c r="F222" s="9" t="str">
        <f ca="1">+WORLDCUP!BD60</f>
        <v>Haiti</v>
      </c>
      <c r="G222" s="9" t="str">
        <f ca="1">+WORLDCUP!BD58</f>
        <v>South Korea</v>
      </c>
      <c r="H222" s="9" t="str">
        <f ca="1">+WORLDCUP!BD63</f>
        <v>Sweden</v>
      </c>
      <c r="I222" s="9" t="str">
        <f ca="1">+WORLDCUP!BD69</f>
        <v>Ghana</v>
      </c>
      <c r="J222" s="9" t="str">
        <f ca="1">+WORLDCUP!BD68</f>
        <v>Uzbekistan</v>
      </c>
      <c r="N222" s="16" t="s">
        <v>1026</v>
      </c>
      <c r="O222" s="16">
        <v>221</v>
      </c>
      <c r="P222" s="16" t="s">
        <v>94</v>
      </c>
      <c r="Q222" s="16" t="s">
        <v>445</v>
      </c>
      <c r="R222" s="16" t="s">
        <v>450</v>
      </c>
      <c r="S222" s="16" t="s">
        <v>92</v>
      </c>
      <c r="T222" s="16" t="s">
        <v>90</v>
      </c>
      <c r="U222" s="16" t="s">
        <v>95</v>
      </c>
      <c r="V222" s="16" t="s">
        <v>453</v>
      </c>
      <c r="W222" s="16" t="s">
        <v>452</v>
      </c>
    </row>
    <row r="223" spans="1:23" x14ac:dyDescent="0.2">
      <c r="A223" s="9" t="s">
        <v>1025</v>
      </c>
      <c r="B223" s="9">
        <f ca="1">+IF(A223=WORLDCUP!$BI$112,1,0)</f>
        <v>0</v>
      </c>
      <c r="C223" s="9" t="str">
        <f ca="1">+WORLDCUP!BD62</f>
        <v>Ivory Coast</v>
      </c>
      <c r="D223" s="9" t="str">
        <f ca="1">+WORLDCUP!BD64</f>
        <v>Iran</v>
      </c>
      <c r="E223" s="9" t="str">
        <f ca="1">+WORLDCUP!BD67</f>
        <v>Austria</v>
      </c>
      <c r="F223" s="9" t="str">
        <f ca="1">+WORLDCUP!BD60</f>
        <v>Haiti</v>
      </c>
      <c r="G223" s="9" t="str">
        <f ca="1">+WORLDCUP!BD58</f>
        <v>South Korea</v>
      </c>
      <c r="H223" s="9" t="str">
        <f ca="1">+WORLDCUP!BD63</f>
        <v>Sweden</v>
      </c>
      <c r="I223" s="9" t="str">
        <f ca="1">+WORLDCUP!BD69</f>
        <v>Ghana</v>
      </c>
      <c r="J223" s="9" t="str">
        <f ca="1">+WORLDCUP!BD66</f>
        <v>Iraq</v>
      </c>
      <c r="N223" s="16" t="s">
        <v>1025</v>
      </c>
      <c r="O223" s="16">
        <v>222</v>
      </c>
      <c r="P223" s="16" t="s">
        <v>94</v>
      </c>
      <c r="Q223" s="16" t="s">
        <v>445</v>
      </c>
      <c r="R223" s="16" t="s">
        <v>451</v>
      </c>
      <c r="S223" s="16" t="s">
        <v>92</v>
      </c>
      <c r="T223" s="16" t="s">
        <v>90</v>
      </c>
      <c r="U223" s="16" t="s">
        <v>95</v>
      </c>
      <c r="V223" s="16" t="s">
        <v>453</v>
      </c>
      <c r="W223" s="16" t="s">
        <v>450</v>
      </c>
    </row>
    <row r="224" spans="1:23" x14ac:dyDescent="0.2">
      <c r="A224" s="9" t="s">
        <v>1024</v>
      </c>
      <c r="B224" s="9">
        <f ca="1">+IF(A224=WORLDCUP!$BI$112,1,0)</f>
        <v>0</v>
      </c>
      <c r="C224" s="9" t="str">
        <f ca="1">+WORLDCUP!BD62</f>
        <v>Ivory Coast</v>
      </c>
      <c r="D224" s="9" t="str">
        <f ca="1">+WORLDCUP!BD64</f>
        <v>Iran</v>
      </c>
      <c r="E224" s="9" t="str">
        <f ca="1">+WORLDCUP!BD67</f>
        <v>Austria</v>
      </c>
      <c r="F224" s="9" t="str">
        <f ca="1">+WORLDCUP!BD60</f>
        <v>Haiti</v>
      </c>
      <c r="G224" s="9" t="str">
        <f ca="1">+WORLDCUP!BD58</f>
        <v>South Korea</v>
      </c>
      <c r="H224" s="9" t="str">
        <f ca="1">+WORLDCUP!BD63</f>
        <v>Sweden</v>
      </c>
      <c r="I224" s="9" t="str">
        <f ca="1">+WORLDCUP!BD66</f>
        <v>Iraq</v>
      </c>
      <c r="J224" s="9" t="str">
        <f ca="1">+WORLDCUP!BD68</f>
        <v>Uzbekistan</v>
      </c>
      <c r="N224" s="16" t="s">
        <v>1024</v>
      </c>
      <c r="O224" s="16">
        <v>223</v>
      </c>
      <c r="P224" s="16" t="s">
        <v>94</v>
      </c>
      <c r="Q224" s="16" t="s">
        <v>445</v>
      </c>
      <c r="R224" s="16" t="s">
        <v>451</v>
      </c>
      <c r="S224" s="16" t="s">
        <v>92</v>
      </c>
      <c r="T224" s="16" t="s">
        <v>90</v>
      </c>
      <c r="U224" s="16" t="s">
        <v>95</v>
      </c>
      <c r="V224" s="16" t="s">
        <v>450</v>
      </c>
      <c r="W224" s="16" t="s">
        <v>452</v>
      </c>
    </row>
    <row r="225" spans="1:23" x14ac:dyDescent="0.2">
      <c r="A225" s="9" t="s">
        <v>1023</v>
      </c>
      <c r="B225" s="9">
        <f ca="1">+IF(A225=WORLDCUP!$BI$112,1,0)</f>
        <v>0</v>
      </c>
      <c r="C225" s="9" t="str">
        <f ca="1">+WORLDCUP!BD65</f>
        <v>Saudi Arabia</v>
      </c>
      <c r="D225" s="9" t="str">
        <f ca="1">+WORLDCUP!BD64</f>
        <v>Iran</v>
      </c>
      <c r="E225" s="9" t="str">
        <f ca="1">+WORLDCUP!BD62</f>
        <v>Ivory Coast</v>
      </c>
      <c r="F225" s="9" t="str">
        <f ca="1">+WORLDCUP!BD60</f>
        <v>Haiti</v>
      </c>
      <c r="G225" s="9" t="str">
        <f ca="1">+WORLDCUP!BD58</f>
        <v>South Korea</v>
      </c>
      <c r="H225" s="9" t="str">
        <f ca="1">+WORLDCUP!BD63</f>
        <v>Sweden</v>
      </c>
      <c r="I225" s="9" t="str">
        <f ca="1">+WORLDCUP!BD69</f>
        <v>Ghana</v>
      </c>
      <c r="J225" s="9" t="str">
        <f ca="1">+WORLDCUP!BD68</f>
        <v>Uzbekistan</v>
      </c>
      <c r="N225" s="16" t="s">
        <v>1023</v>
      </c>
      <c r="O225" s="16">
        <v>224</v>
      </c>
      <c r="P225" s="16" t="s">
        <v>446</v>
      </c>
      <c r="Q225" s="16" t="s">
        <v>445</v>
      </c>
      <c r="R225" s="16" t="s">
        <v>94</v>
      </c>
      <c r="S225" s="16" t="s">
        <v>92</v>
      </c>
      <c r="T225" s="16" t="s">
        <v>90</v>
      </c>
      <c r="U225" s="16" t="s">
        <v>95</v>
      </c>
      <c r="V225" s="16" t="s">
        <v>453</v>
      </c>
      <c r="W225" s="16" t="s">
        <v>452</v>
      </c>
    </row>
    <row r="226" spans="1:23" x14ac:dyDescent="0.2">
      <c r="A226" s="9" t="s">
        <v>1022</v>
      </c>
      <c r="B226" s="9">
        <f ca="1">+IF(A226=WORLDCUP!$BI$112,1,0)</f>
        <v>0</v>
      </c>
      <c r="C226" s="9" t="str">
        <f ca="1">+WORLDCUP!BD65</f>
        <v>Saudi Arabia</v>
      </c>
      <c r="D226" s="9" t="str">
        <f ca="1">+WORLDCUP!BD64</f>
        <v>Iran</v>
      </c>
      <c r="E226" s="9" t="str">
        <f ca="1">+WORLDCUP!BD67</f>
        <v>Austria</v>
      </c>
      <c r="F226" s="9" t="str">
        <f ca="1">+WORLDCUP!BD60</f>
        <v>Haiti</v>
      </c>
      <c r="G226" s="9" t="str">
        <f ca="1">+WORLDCUP!BD58</f>
        <v>South Korea</v>
      </c>
      <c r="H226" s="9" t="str">
        <f ca="1">+WORLDCUP!BD63</f>
        <v>Sweden</v>
      </c>
      <c r="I226" s="9" t="str">
        <f ca="1">+WORLDCUP!BD69</f>
        <v>Ghana</v>
      </c>
      <c r="J226" s="9" t="str">
        <f ca="1">+WORLDCUP!BD62</f>
        <v>Ivory Coast</v>
      </c>
      <c r="N226" s="16" t="s">
        <v>1022</v>
      </c>
      <c r="O226" s="16">
        <v>225</v>
      </c>
      <c r="P226" s="16" t="s">
        <v>446</v>
      </c>
      <c r="Q226" s="16" t="s">
        <v>445</v>
      </c>
      <c r="R226" s="16" t="s">
        <v>451</v>
      </c>
      <c r="S226" s="16" t="s">
        <v>92</v>
      </c>
      <c r="T226" s="16" t="s">
        <v>90</v>
      </c>
      <c r="U226" s="16" t="s">
        <v>95</v>
      </c>
      <c r="V226" s="16" t="s">
        <v>453</v>
      </c>
      <c r="W226" s="16" t="s">
        <v>94</v>
      </c>
    </row>
    <row r="227" spans="1:23" x14ac:dyDescent="0.2">
      <c r="A227" s="9" t="s">
        <v>1021</v>
      </c>
      <c r="B227" s="9">
        <f ca="1">+IF(A227=WORLDCUP!$BI$112,1,0)</f>
        <v>0</v>
      </c>
      <c r="C227" s="9" t="str">
        <f ca="1">+WORLDCUP!BD65</f>
        <v>Saudi Arabia</v>
      </c>
      <c r="D227" s="9" t="str">
        <f ca="1">+WORLDCUP!BD64</f>
        <v>Iran</v>
      </c>
      <c r="E227" s="9" t="str">
        <f ca="1">+WORLDCUP!BD67</f>
        <v>Austria</v>
      </c>
      <c r="F227" s="9" t="str">
        <f ca="1">+WORLDCUP!BD60</f>
        <v>Haiti</v>
      </c>
      <c r="G227" s="9" t="str">
        <f ca="1">+WORLDCUP!BD58</f>
        <v>South Korea</v>
      </c>
      <c r="H227" s="9" t="str">
        <f ca="1">+WORLDCUP!BD63</f>
        <v>Sweden</v>
      </c>
      <c r="I227" s="9" t="str">
        <f ca="1">+WORLDCUP!BD62</f>
        <v>Ivory Coast</v>
      </c>
      <c r="J227" s="9" t="str">
        <f ca="1">+WORLDCUP!BD68</f>
        <v>Uzbekistan</v>
      </c>
      <c r="N227" s="16" t="s">
        <v>1021</v>
      </c>
      <c r="O227" s="16">
        <v>226</v>
      </c>
      <c r="P227" s="16" t="s">
        <v>446</v>
      </c>
      <c r="Q227" s="16" t="s">
        <v>445</v>
      </c>
      <c r="R227" s="16" t="s">
        <v>451</v>
      </c>
      <c r="S227" s="16" t="s">
        <v>92</v>
      </c>
      <c r="T227" s="16" t="s">
        <v>90</v>
      </c>
      <c r="U227" s="16" t="s">
        <v>95</v>
      </c>
      <c r="V227" s="16" t="s">
        <v>94</v>
      </c>
      <c r="W227" s="16" t="s">
        <v>452</v>
      </c>
    </row>
    <row r="228" spans="1:23" x14ac:dyDescent="0.2">
      <c r="A228" s="9" t="s">
        <v>1020</v>
      </c>
      <c r="B228" s="9">
        <f ca="1">+IF(A228=WORLDCUP!$BI$112,1,0)</f>
        <v>0</v>
      </c>
      <c r="C228" s="9" t="str">
        <f ca="1">+WORLDCUP!BD65</f>
        <v>Saudi Arabia</v>
      </c>
      <c r="D228" s="9" t="str">
        <f ca="1">+WORLDCUP!BD64</f>
        <v>Iran</v>
      </c>
      <c r="E228" s="9" t="str">
        <f ca="1">+WORLDCUP!BD62</f>
        <v>Ivory Coast</v>
      </c>
      <c r="F228" s="9" t="str">
        <f ca="1">+WORLDCUP!BD60</f>
        <v>Haiti</v>
      </c>
      <c r="G228" s="9" t="str">
        <f ca="1">+WORLDCUP!BD58</f>
        <v>South Korea</v>
      </c>
      <c r="H228" s="9" t="str">
        <f ca="1">+WORLDCUP!BD63</f>
        <v>Sweden</v>
      </c>
      <c r="I228" s="9" t="str">
        <f ca="1">+WORLDCUP!BD69</f>
        <v>Ghana</v>
      </c>
      <c r="J228" s="9" t="str">
        <f ca="1">+WORLDCUP!BD66</f>
        <v>Iraq</v>
      </c>
      <c r="N228" s="16" t="s">
        <v>1020</v>
      </c>
      <c r="O228" s="16">
        <v>227</v>
      </c>
      <c r="P228" s="16" t="s">
        <v>446</v>
      </c>
      <c r="Q228" s="16" t="s">
        <v>445</v>
      </c>
      <c r="R228" s="16" t="s">
        <v>94</v>
      </c>
      <c r="S228" s="16" t="s">
        <v>92</v>
      </c>
      <c r="T228" s="16" t="s">
        <v>90</v>
      </c>
      <c r="U228" s="16" t="s">
        <v>95</v>
      </c>
      <c r="V228" s="16" t="s">
        <v>453</v>
      </c>
      <c r="W228" s="16" t="s">
        <v>450</v>
      </c>
    </row>
    <row r="229" spans="1:23" x14ac:dyDescent="0.2">
      <c r="A229" s="9" t="s">
        <v>1019</v>
      </c>
      <c r="B229" s="9">
        <f ca="1">+IF(A229=WORLDCUP!$BI$112,1,0)</f>
        <v>0</v>
      </c>
      <c r="C229" s="9" t="str">
        <f ca="1">+WORLDCUP!BD65</f>
        <v>Saudi Arabia</v>
      </c>
      <c r="D229" s="9" t="str">
        <f ca="1">+WORLDCUP!BD64</f>
        <v>Iran</v>
      </c>
      <c r="E229" s="9" t="str">
        <f ca="1">+WORLDCUP!BD62</f>
        <v>Ivory Coast</v>
      </c>
      <c r="F229" s="9" t="str">
        <f ca="1">+WORLDCUP!BD60</f>
        <v>Haiti</v>
      </c>
      <c r="G229" s="9" t="str">
        <f ca="1">+WORLDCUP!BD58</f>
        <v>South Korea</v>
      </c>
      <c r="H229" s="9" t="str">
        <f ca="1">+WORLDCUP!BD63</f>
        <v>Sweden</v>
      </c>
      <c r="I229" s="9" t="str">
        <f ca="1">+WORLDCUP!BD66</f>
        <v>Iraq</v>
      </c>
      <c r="J229" s="9" t="str">
        <f ca="1">+WORLDCUP!BD68</f>
        <v>Uzbekistan</v>
      </c>
      <c r="N229" s="16" t="s">
        <v>1019</v>
      </c>
      <c r="O229" s="16">
        <v>228</v>
      </c>
      <c r="P229" s="16" t="s">
        <v>446</v>
      </c>
      <c r="Q229" s="16" t="s">
        <v>445</v>
      </c>
      <c r="R229" s="16" t="s">
        <v>94</v>
      </c>
      <c r="S229" s="16" t="s">
        <v>92</v>
      </c>
      <c r="T229" s="16" t="s">
        <v>90</v>
      </c>
      <c r="U229" s="16" t="s">
        <v>95</v>
      </c>
      <c r="V229" s="16" t="s">
        <v>450</v>
      </c>
      <c r="W229" s="16" t="s">
        <v>452</v>
      </c>
    </row>
    <row r="230" spans="1:23" x14ac:dyDescent="0.2">
      <c r="A230" s="9" t="s">
        <v>1018</v>
      </c>
      <c r="B230" s="9">
        <f ca="1">+IF(A230=WORLDCUP!$BI$112,1,0)</f>
        <v>0</v>
      </c>
      <c r="C230" s="9" t="str">
        <f ca="1">+WORLDCUP!BD65</f>
        <v>Saudi Arabia</v>
      </c>
      <c r="D230" s="9" t="str">
        <f ca="1">+WORLDCUP!BD64</f>
        <v>Iran</v>
      </c>
      <c r="E230" s="9" t="str">
        <f ca="1">+WORLDCUP!BD67</f>
        <v>Austria</v>
      </c>
      <c r="F230" s="9" t="str">
        <f ca="1">+WORLDCUP!BD60</f>
        <v>Haiti</v>
      </c>
      <c r="G230" s="9" t="str">
        <f ca="1">+WORLDCUP!BD58</f>
        <v>South Korea</v>
      </c>
      <c r="H230" s="9" t="str">
        <f ca="1">+WORLDCUP!BD63</f>
        <v>Sweden</v>
      </c>
      <c r="I230" s="9" t="str">
        <f ca="1">+WORLDCUP!BD62</f>
        <v>Ivory Coast</v>
      </c>
      <c r="J230" s="9" t="str">
        <f ca="1">+WORLDCUP!BD66</f>
        <v>Iraq</v>
      </c>
      <c r="N230" s="16" t="s">
        <v>1018</v>
      </c>
      <c r="O230" s="16">
        <v>229</v>
      </c>
      <c r="P230" s="16" t="s">
        <v>446</v>
      </c>
      <c r="Q230" s="16" t="s">
        <v>445</v>
      </c>
      <c r="R230" s="16" t="s">
        <v>451</v>
      </c>
      <c r="S230" s="16" t="s">
        <v>92</v>
      </c>
      <c r="T230" s="16" t="s">
        <v>90</v>
      </c>
      <c r="U230" s="16" t="s">
        <v>95</v>
      </c>
      <c r="V230" s="16" t="s">
        <v>94</v>
      </c>
      <c r="W230" s="16" t="s">
        <v>450</v>
      </c>
    </row>
    <row r="231" spans="1:23" x14ac:dyDescent="0.2">
      <c r="A231" s="9" t="s">
        <v>1017</v>
      </c>
      <c r="B231" s="9">
        <f ca="1">+IF(A231=WORLDCUP!$BI$112,1,0)</f>
        <v>0</v>
      </c>
      <c r="C231" s="9" t="str">
        <f ca="1">+WORLDCUP!BD65</f>
        <v>Saudi Arabia</v>
      </c>
      <c r="D231" s="9" t="str">
        <f ca="1">+WORLDCUP!BD67</f>
        <v>Austria</v>
      </c>
      <c r="E231" s="9" t="str">
        <f ca="1">+WORLDCUP!BD66</f>
        <v>Iraq</v>
      </c>
      <c r="F231" s="9" t="str">
        <f ca="1">+WORLDCUP!BD60</f>
        <v>Haiti</v>
      </c>
      <c r="G231" s="9" t="str">
        <f ca="1">+WORLDCUP!BD58</f>
        <v>South Korea</v>
      </c>
      <c r="H231" s="9" t="str">
        <f ca="1">+WORLDCUP!BD61</f>
        <v>Australia</v>
      </c>
      <c r="I231" s="9" t="str">
        <f ca="1">+WORLDCUP!BD69</f>
        <v>Ghana</v>
      </c>
      <c r="J231" s="9" t="str">
        <f ca="1">+WORLDCUP!BD68</f>
        <v>Uzbekistan</v>
      </c>
      <c r="N231" s="16" t="s">
        <v>1017</v>
      </c>
      <c r="O231" s="16">
        <v>230</v>
      </c>
      <c r="P231" s="16" t="s">
        <v>446</v>
      </c>
      <c r="Q231" s="16" t="s">
        <v>451</v>
      </c>
      <c r="R231" s="16" t="s">
        <v>450</v>
      </c>
      <c r="S231" s="16" t="s">
        <v>92</v>
      </c>
      <c r="T231" s="16" t="s">
        <v>90</v>
      </c>
      <c r="U231" s="16" t="s">
        <v>93</v>
      </c>
      <c r="V231" s="16" t="s">
        <v>453</v>
      </c>
      <c r="W231" s="16" t="s">
        <v>452</v>
      </c>
    </row>
    <row r="232" spans="1:23" x14ac:dyDescent="0.2">
      <c r="A232" s="9" t="s">
        <v>1016</v>
      </c>
      <c r="B232" s="9">
        <f ca="1">+IF(A232=WORLDCUP!$BI$112,1,0)</f>
        <v>0</v>
      </c>
      <c r="C232" s="9" t="str">
        <f ca="1">+WORLDCUP!BD66</f>
        <v>Iraq</v>
      </c>
      <c r="D232" s="9" t="str">
        <f ca="1">+WORLDCUP!BD64</f>
        <v>Iran</v>
      </c>
      <c r="E232" s="9" t="str">
        <f ca="1">+WORLDCUP!BD67</f>
        <v>Austria</v>
      </c>
      <c r="F232" s="9" t="str">
        <f ca="1">+WORLDCUP!BD60</f>
        <v>Haiti</v>
      </c>
      <c r="G232" s="9" t="str">
        <f ca="1">+WORLDCUP!BD58</f>
        <v>South Korea</v>
      </c>
      <c r="H232" s="9" t="str">
        <f ca="1">+WORLDCUP!BD61</f>
        <v>Australia</v>
      </c>
      <c r="I232" s="9" t="str">
        <f ca="1">+WORLDCUP!BD69</f>
        <v>Ghana</v>
      </c>
      <c r="J232" s="9" t="str">
        <f ca="1">+WORLDCUP!BD68</f>
        <v>Uzbekistan</v>
      </c>
      <c r="N232" s="16" t="s">
        <v>1016</v>
      </c>
      <c r="O232" s="16">
        <v>231</v>
      </c>
      <c r="P232" s="16" t="s">
        <v>450</v>
      </c>
      <c r="Q232" s="16" t="s">
        <v>445</v>
      </c>
      <c r="R232" s="16" t="s">
        <v>451</v>
      </c>
      <c r="S232" s="16" t="s">
        <v>92</v>
      </c>
      <c r="T232" s="16" t="s">
        <v>90</v>
      </c>
      <c r="U232" s="16" t="s">
        <v>93</v>
      </c>
      <c r="V232" s="16" t="s">
        <v>453</v>
      </c>
      <c r="W232" s="16" t="s">
        <v>452</v>
      </c>
    </row>
    <row r="233" spans="1:23" x14ac:dyDescent="0.2">
      <c r="A233" s="9" t="s">
        <v>1015</v>
      </c>
      <c r="B233" s="9">
        <f ca="1">+IF(A233=WORLDCUP!$BI$112,1,0)</f>
        <v>0</v>
      </c>
      <c r="C233" s="9" t="str">
        <f ca="1">+WORLDCUP!BD65</f>
        <v>Saudi Arabia</v>
      </c>
      <c r="D233" s="9" t="str">
        <f ca="1">+WORLDCUP!BD64</f>
        <v>Iran</v>
      </c>
      <c r="E233" s="9" t="str">
        <f ca="1">+WORLDCUP!BD67</f>
        <v>Austria</v>
      </c>
      <c r="F233" s="9" t="str">
        <f ca="1">+WORLDCUP!BD60</f>
        <v>Haiti</v>
      </c>
      <c r="G233" s="9" t="str">
        <f ca="1">+WORLDCUP!BD58</f>
        <v>South Korea</v>
      </c>
      <c r="H233" s="9" t="str">
        <f ca="1">+WORLDCUP!BD61</f>
        <v>Australia</v>
      </c>
      <c r="I233" s="9" t="str">
        <f ca="1">+WORLDCUP!BD69</f>
        <v>Ghana</v>
      </c>
      <c r="J233" s="9" t="str">
        <f ca="1">+WORLDCUP!BD68</f>
        <v>Uzbekistan</v>
      </c>
      <c r="N233" s="16" t="s">
        <v>1015</v>
      </c>
      <c r="O233" s="16">
        <v>232</v>
      </c>
      <c r="P233" s="16" t="s">
        <v>446</v>
      </c>
      <c r="Q233" s="16" t="s">
        <v>445</v>
      </c>
      <c r="R233" s="16" t="s">
        <v>451</v>
      </c>
      <c r="S233" s="16" t="s">
        <v>92</v>
      </c>
      <c r="T233" s="16" t="s">
        <v>90</v>
      </c>
      <c r="U233" s="16" t="s">
        <v>93</v>
      </c>
      <c r="V233" s="16" t="s">
        <v>453</v>
      </c>
      <c r="W233" s="16" t="s">
        <v>452</v>
      </c>
    </row>
    <row r="234" spans="1:23" x14ac:dyDescent="0.2">
      <c r="A234" s="9" t="s">
        <v>1014</v>
      </c>
      <c r="B234" s="9">
        <f ca="1">+IF(A234=WORLDCUP!$BI$112,1,0)</f>
        <v>0</v>
      </c>
      <c r="C234" s="9" t="str">
        <f ca="1">+WORLDCUP!BD65</f>
        <v>Saudi Arabia</v>
      </c>
      <c r="D234" s="9" t="str">
        <f ca="1">+WORLDCUP!BD64</f>
        <v>Iran</v>
      </c>
      <c r="E234" s="9" t="str">
        <f ca="1">+WORLDCUP!BD66</f>
        <v>Iraq</v>
      </c>
      <c r="F234" s="9" t="str">
        <f ca="1">+WORLDCUP!BD60</f>
        <v>Haiti</v>
      </c>
      <c r="G234" s="9" t="str">
        <f ca="1">+WORLDCUP!BD58</f>
        <v>South Korea</v>
      </c>
      <c r="H234" s="9" t="str">
        <f ca="1">+WORLDCUP!BD61</f>
        <v>Australia</v>
      </c>
      <c r="I234" s="9" t="str">
        <f ca="1">+WORLDCUP!BD69</f>
        <v>Ghana</v>
      </c>
      <c r="J234" s="9" t="str">
        <f ca="1">+WORLDCUP!BD68</f>
        <v>Uzbekistan</v>
      </c>
      <c r="N234" s="16" t="s">
        <v>1014</v>
      </c>
      <c r="O234" s="16">
        <v>233</v>
      </c>
      <c r="P234" s="16" t="s">
        <v>446</v>
      </c>
      <c r="Q234" s="16" t="s">
        <v>445</v>
      </c>
      <c r="R234" s="16" t="s">
        <v>450</v>
      </c>
      <c r="S234" s="16" t="s">
        <v>92</v>
      </c>
      <c r="T234" s="16" t="s">
        <v>90</v>
      </c>
      <c r="U234" s="16" t="s">
        <v>93</v>
      </c>
      <c r="V234" s="16" t="s">
        <v>453</v>
      </c>
      <c r="W234" s="16" t="s">
        <v>452</v>
      </c>
    </row>
    <row r="235" spans="1:23" x14ac:dyDescent="0.2">
      <c r="A235" s="9" t="s">
        <v>1013</v>
      </c>
      <c r="B235" s="9">
        <f ca="1">+IF(A235=WORLDCUP!$BI$112,1,0)</f>
        <v>0</v>
      </c>
      <c r="C235" s="9" t="str">
        <f ca="1">+WORLDCUP!BD65</f>
        <v>Saudi Arabia</v>
      </c>
      <c r="D235" s="9" t="str">
        <f ca="1">+WORLDCUP!BD64</f>
        <v>Iran</v>
      </c>
      <c r="E235" s="9" t="str">
        <f ca="1">+WORLDCUP!BD67</f>
        <v>Austria</v>
      </c>
      <c r="F235" s="9" t="str">
        <f ca="1">+WORLDCUP!BD60</f>
        <v>Haiti</v>
      </c>
      <c r="G235" s="9" t="str">
        <f ca="1">+WORLDCUP!BD58</f>
        <v>South Korea</v>
      </c>
      <c r="H235" s="9" t="str">
        <f ca="1">+WORLDCUP!BD61</f>
        <v>Australia</v>
      </c>
      <c r="I235" s="9" t="str">
        <f ca="1">+WORLDCUP!BD69</f>
        <v>Ghana</v>
      </c>
      <c r="J235" s="9" t="str">
        <f ca="1">+WORLDCUP!BD66</f>
        <v>Iraq</v>
      </c>
      <c r="N235" s="16" t="s">
        <v>1013</v>
      </c>
      <c r="O235" s="16">
        <v>234</v>
      </c>
      <c r="P235" s="16" t="s">
        <v>446</v>
      </c>
      <c r="Q235" s="16" t="s">
        <v>445</v>
      </c>
      <c r="R235" s="16" t="s">
        <v>451</v>
      </c>
      <c r="S235" s="16" t="s">
        <v>92</v>
      </c>
      <c r="T235" s="16" t="s">
        <v>90</v>
      </c>
      <c r="U235" s="16" t="s">
        <v>93</v>
      </c>
      <c r="V235" s="16" t="s">
        <v>453</v>
      </c>
      <c r="W235" s="16" t="s">
        <v>450</v>
      </c>
    </row>
    <row r="236" spans="1:23" x14ac:dyDescent="0.2">
      <c r="A236" s="9" t="s">
        <v>1012</v>
      </c>
      <c r="B236" s="9">
        <f ca="1">+IF(A236=WORLDCUP!$BI$112,1,0)</f>
        <v>0</v>
      </c>
      <c r="C236" s="9" t="str">
        <f ca="1">+WORLDCUP!BD65</f>
        <v>Saudi Arabia</v>
      </c>
      <c r="D236" s="9" t="str">
        <f ca="1">+WORLDCUP!BD64</f>
        <v>Iran</v>
      </c>
      <c r="E236" s="9" t="str">
        <f ca="1">+WORLDCUP!BD67</f>
        <v>Austria</v>
      </c>
      <c r="F236" s="9" t="str">
        <f ca="1">+WORLDCUP!BD60</f>
        <v>Haiti</v>
      </c>
      <c r="G236" s="9" t="str">
        <f ca="1">+WORLDCUP!BD58</f>
        <v>South Korea</v>
      </c>
      <c r="H236" s="9" t="str">
        <f ca="1">+WORLDCUP!BD61</f>
        <v>Australia</v>
      </c>
      <c r="I236" s="9" t="str">
        <f ca="1">+WORLDCUP!BD66</f>
        <v>Iraq</v>
      </c>
      <c r="J236" s="9" t="str">
        <f ca="1">+WORLDCUP!BD68</f>
        <v>Uzbekistan</v>
      </c>
      <c r="N236" s="16" t="s">
        <v>1012</v>
      </c>
      <c r="O236" s="16">
        <v>235</v>
      </c>
      <c r="P236" s="16" t="s">
        <v>446</v>
      </c>
      <c r="Q236" s="16" t="s">
        <v>445</v>
      </c>
      <c r="R236" s="16" t="s">
        <v>451</v>
      </c>
      <c r="S236" s="16" t="s">
        <v>92</v>
      </c>
      <c r="T236" s="16" t="s">
        <v>90</v>
      </c>
      <c r="U236" s="16" t="s">
        <v>93</v>
      </c>
      <c r="V236" s="16" t="s">
        <v>450</v>
      </c>
      <c r="W236" s="16" t="s">
        <v>452</v>
      </c>
    </row>
    <row r="237" spans="1:23" x14ac:dyDescent="0.2">
      <c r="A237" s="9" t="s">
        <v>1011</v>
      </c>
      <c r="B237" s="9">
        <f ca="1">+IF(A237=WORLDCUP!$BI$112,1,0)</f>
        <v>0</v>
      </c>
      <c r="C237" s="9" t="str">
        <f ca="1">+WORLDCUP!BD60</f>
        <v>Haiti</v>
      </c>
      <c r="D237" s="9" t="str">
        <f ca="1">+WORLDCUP!BD67</f>
        <v>Austria</v>
      </c>
      <c r="E237" s="9" t="str">
        <f ca="1">+WORLDCUP!BD66</f>
        <v>Iraq</v>
      </c>
      <c r="F237" s="9" t="str">
        <f ca="1">+WORLDCUP!BD61</f>
        <v>Australia</v>
      </c>
      <c r="G237" s="9" t="str">
        <f ca="1">+WORLDCUP!BD58</f>
        <v>South Korea</v>
      </c>
      <c r="H237" s="9" t="str">
        <f ca="1">+WORLDCUP!BD63</f>
        <v>Sweden</v>
      </c>
      <c r="I237" s="9" t="str">
        <f ca="1">+WORLDCUP!BD69</f>
        <v>Ghana</v>
      </c>
      <c r="J237" s="9" t="str">
        <f ca="1">+WORLDCUP!BD68</f>
        <v>Uzbekistan</v>
      </c>
      <c r="N237" s="16" t="s">
        <v>1011</v>
      </c>
      <c r="O237" s="16">
        <v>236</v>
      </c>
      <c r="P237" s="16" t="s">
        <v>92</v>
      </c>
      <c r="Q237" s="16" t="s">
        <v>451</v>
      </c>
      <c r="R237" s="16" t="s">
        <v>450</v>
      </c>
      <c r="S237" s="16" t="s">
        <v>93</v>
      </c>
      <c r="T237" s="16" t="s">
        <v>90</v>
      </c>
      <c r="U237" s="16" t="s">
        <v>95</v>
      </c>
      <c r="V237" s="16" t="s">
        <v>453</v>
      </c>
      <c r="W237" s="16" t="s">
        <v>452</v>
      </c>
    </row>
    <row r="238" spans="1:23" x14ac:dyDescent="0.2">
      <c r="A238" s="9" t="s">
        <v>1010</v>
      </c>
      <c r="B238" s="9">
        <f ca="1">+IF(A238=WORLDCUP!$BI$112,1,0)</f>
        <v>0</v>
      </c>
      <c r="C238" s="9" t="str">
        <f ca="1">+WORLDCUP!BD65</f>
        <v>Saudi Arabia</v>
      </c>
      <c r="D238" s="9" t="str">
        <f ca="1">+WORLDCUP!BD67</f>
        <v>Austria</v>
      </c>
      <c r="E238" s="9" t="str">
        <f ca="1">+WORLDCUP!BD63</f>
        <v>Sweden</v>
      </c>
      <c r="F238" s="9" t="str">
        <f ca="1">+WORLDCUP!BD60</f>
        <v>Haiti</v>
      </c>
      <c r="G238" s="9" t="str">
        <f ca="1">+WORLDCUP!BD58</f>
        <v>South Korea</v>
      </c>
      <c r="H238" s="9" t="str">
        <f ca="1">+WORLDCUP!BD61</f>
        <v>Australia</v>
      </c>
      <c r="I238" s="9" t="str">
        <f ca="1">+WORLDCUP!BD69</f>
        <v>Ghana</v>
      </c>
      <c r="J238" s="9" t="str">
        <f ca="1">+WORLDCUP!BD68</f>
        <v>Uzbekistan</v>
      </c>
      <c r="N238" s="16" t="s">
        <v>1010</v>
      </c>
      <c r="O238" s="16">
        <v>237</v>
      </c>
      <c r="P238" s="16" t="s">
        <v>446</v>
      </c>
      <c r="Q238" s="16" t="s">
        <v>451</v>
      </c>
      <c r="R238" s="16" t="s">
        <v>95</v>
      </c>
      <c r="S238" s="16" t="s">
        <v>92</v>
      </c>
      <c r="T238" s="16" t="s">
        <v>90</v>
      </c>
      <c r="U238" s="16" t="s">
        <v>93</v>
      </c>
      <c r="V238" s="16" t="s">
        <v>453</v>
      </c>
      <c r="W238" s="16" t="s">
        <v>452</v>
      </c>
    </row>
    <row r="239" spans="1:23" x14ac:dyDescent="0.2">
      <c r="A239" s="9" t="s">
        <v>1009</v>
      </c>
      <c r="B239" s="9">
        <f ca="1">+IF(A239=WORLDCUP!$BI$112,1,0)</f>
        <v>0</v>
      </c>
      <c r="C239" s="9" t="str">
        <f ca="1">+WORLDCUP!BD65</f>
        <v>Saudi Arabia</v>
      </c>
      <c r="D239" s="9" t="str">
        <f ca="1">+WORLDCUP!BD63</f>
        <v>Sweden</v>
      </c>
      <c r="E239" s="9" t="str">
        <f ca="1">+WORLDCUP!BD66</f>
        <v>Iraq</v>
      </c>
      <c r="F239" s="9" t="str">
        <f ca="1">+WORLDCUP!BD60</f>
        <v>Haiti</v>
      </c>
      <c r="G239" s="9" t="str">
        <f ca="1">+WORLDCUP!BD58</f>
        <v>South Korea</v>
      </c>
      <c r="H239" s="9" t="str">
        <f ca="1">+WORLDCUP!BD61</f>
        <v>Australia</v>
      </c>
      <c r="I239" s="9" t="str">
        <f ca="1">+WORLDCUP!BD69</f>
        <v>Ghana</v>
      </c>
      <c r="J239" s="9" t="str">
        <f ca="1">+WORLDCUP!BD68</f>
        <v>Uzbekistan</v>
      </c>
      <c r="N239" s="16" t="s">
        <v>1009</v>
      </c>
      <c r="O239" s="16">
        <v>238</v>
      </c>
      <c r="P239" s="16" t="s">
        <v>446</v>
      </c>
      <c r="Q239" s="16" t="s">
        <v>95</v>
      </c>
      <c r="R239" s="16" t="s">
        <v>450</v>
      </c>
      <c r="S239" s="16" t="s">
        <v>92</v>
      </c>
      <c r="T239" s="16" t="s">
        <v>90</v>
      </c>
      <c r="U239" s="16" t="s">
        <v>93</v>
      </c>
      <c r="V239" s="16" t="s">
        <v>453</v>
      </c>
      <c r="W239" s="16" t="s">
        <v>452</v>
      </c>
    </row>
    <row r="240" spans="1:23" x14ac:dyDescent="0.2">
      <c r="A240" s="9" t="s">
        <v>1008</v>
      </c>
      <c r="B240" s="9">
        <f ca="1">+IF(A240=WORLDCUP!$BI$112,1,0)</f>
        <v>0</v>
      </c>
      <c r="C240" s="9" t="str">
        <f ca="1">+WORLDCUP!BD65</f>
        <v>Saudi Arabia</v>
      </c>
      <c r="D240" s="9" t="str">
        <f ca="1">+WORLDCUP!BD67</f>
        <v>Austria</v>
      </c>
      <c r="E240" s="9" t="str">
        <f ca="1">+WORLDCUP!BD63</f>
        <v>Sweden</v>
      </c>
      <c r="F240" s="9" t="str">
        <f ca="1">+WORLDCUP!BD60</f>
        <v>Haiti</v>
      </c>
      <c r="G240" s="9" t="str">
        <f ca="1">+WORLDCUP!BD58</f>
        <v>South Korea</v>
      </c>
      <c r="H240" s="9" t="str">
        <f ca="1">+WORLDCUP!BD61</f>
        <v>Australia</v>
      </c>
      <c r="I240" s="9" t="str">
        <f ca="1">+WORLDCUP!BD69</f>
        <v>Ghana</v>
      </c>
      <c r="J240" s="9" t="str">
        <f ca="1">+WORLDCUP!BD66</f>
        <v>Iraq</v>
      </c>
      <c r="N240" s="16" t="s">
        <v>1008</v>
      </c>
      <c r="O240" s="16">
        <v>239</v>
      </c>
      <c r="P240" s="16" t="s">
        <v>446</v>
      </c>
      <c r="Q240" s="16" t="s">
        <v>451</v>
      </c>
      <c r="R240" s="16" t="s">
        <v>95</v>
      </c>
      <c r="S240" s="16" t="s">
        <v>92</v>
      </c>
      <c r="T240" s="16" t="s">
        <v>90</v>
      </c>
      <c r="U240" s="16" t="s">
        <v>93</v>
      </c>
      <c r="V240" s="16" t="s">
        <v>453</v>
      </c>
      <c r="W240" s="16" t="s">
        <v>450</v>
      </c>
    </row>
    <row r="241" spans="1:23" x14ac:dyDescent="0.2">
      <c r="A241" s="9" t="s">
        <v>1007</v>
      </c>
      <c r="B241" s="9">
        <f ca="1">+IF(A241=WORLDCUP!$BI$112,1,0)</f>
        <v>0</v>
      </c>
      <c r="C241" s="9" t="str">
        <f ca="1">+WORLDCUP!BD65</f>
        <v>Saudi Arabia</v>
      </c>
      <c r="D241" s="9" t="str">
        <f ca="1">+WORLDCUP!BD67</f>
        <v>Austria</v>
      </c>
      <c r="E241" s="9" t="str">
        <f ca="1">+WORLDCUP!BD63</f>
        <v>Sweden</v>
      </c>
      <c r="F241" s="9" t="str">
        <f ca="1">+WORLDCUP!BD60</f>
        <v>Haiti</v>
      </c>
      <c r="G241" s="9" t="str">
        <f ca="1">+WORLDCUP!BD58</f>
        <v>South Korea</v>
      </c>
      <c r="H241" s="9" t="str">
        <f ca="1">+WORLDCUP!BD61</f>
        <v>Australia</v>
      </c>
      <c r="I241" s="9" t="str">
        <f ca="1">+WORLDCUP!BD66</f>
        <v>Iraq</v>
      </c>
      <c r="J241" s="9" t="str">
        <f ca="1">+WORLDCUP!BD68</f>
        <v>Uzbekistan</v>
      </c>
      <c r="N241" s="16" t="s">
        <v>1007</v>
      </c>
      <c r="O241" s="16">
        <v>240</v>
      </c>
      <c r="P241" s="16" t="s">
        <v>446</v>
      </c>
      <c r="Q241" s="16" t="s">
        <v>451</v>
      </c>
      <c r="R241" s="16" t="s">
        <v>95</v>
      </c>
      <c r="S241" s="16" t="s">
        <v>92</v>
      </c>
      <c r="T241" s="16" t="s">
        <v>90</v>
      </c>
      <c r="U241" s="16" t="s">
        <v>93</v>
      </c>
      <c r="V241" s="16" t="s">
        <v>450</v>
      </c>
      <c r="W241" s="16" t="s">
        <v>452</v>
      </c>
    </row>
    <row r="242" spans="1:23" x14ac:dyDescent="0.2">
      <c r="A242" s="9" t="s">
        <v>1006</v>
      </c>
      <c r="B242" s="9">
        <f ca="1">+IF(A242=WORLDCUP!$BI$112,1,0)</f>
        <v>0</v>
      </c>
      <c r="C242" s="9" t="str">
        <f ca="1">+WORLDCUP!BD60</f>
        <v>Haiti</v>
      </c>
      <c r="D242" s="9" t="str">
        <f ca="1">+WORLDCUP!BD64</f>
        <v>Iran</v>
      </c>
      <c r="E242" s="9" t="str">
        <f ca="1">+WORLDCUP!BD67</f>
        <v>Austria</v>
      </c>
      <c r="F242" s="9" t="str">
        <f ca="1">+WORLDCUP!BD61</f>
        <v>Australia</v>
      </c>
      <c r="G242" s="9" t="str">
        <f ca="1">+WORLDCUP!BD58</f>
        <v>South Korea</v>
      </c>
      <c r="H242" s="9" t="str">
        <f ca="1">+WORLDCUP!BD63</f>
        <v>Sweden</v>
      </c>
      <c r="I242" s="9" t="str">
        <f ca="1">+WORLDCUP!BD69</f>
        <v>Ghana</v>
      </c>
      <c r="J242" s="9" t="str">
        <f ca="1">+WORLDCUP!BD68</f>
        <v>Uzbekistan</v>
      </c>
      <c r="N242" s="16" t="s">
        <v>1006</v>
      </c>
      <c r="O242" s="16">
        <v>241</v>
      </c>
      <c r="P242" s="16" t="s">
        <v>92</v>
      </c>
      <c r="Q242" s="16" t="s">
        <v>445</v>
      </c>
      <c r="R242" s="16" t="s">
        <v>451</v>
      </c>
      <c r="S242" s="16" t="s">
        <v>93</v>
      </c>
      <c r="T242" s="16" t="s">
        <v>90</v>
      </c>
      <c r="U242" s="16" t="s">
        <v>95</v>
      </c>
      <c r="V242" s="16" t="s">
        <v>453</v>
      </c>
      <c r="W242" s="16" t="s">
        <v>452</v>
      </c>
    </row>
    <row r="243" spans="1:23" x14ac:dyDescent="0.2">
      <c r="A243" s="9" t="s">
        <v>1005</v>
      </c>
      <c r="B243" s="9">
        <f ca="1">+IF(A243=WORLDCUP!$BI$112,1,0)</f>
        <v>0</v>
      </c>
      <c r="C243" s="9" t="str">
        <f ca="1">+WORLDCUP!BD60</f>
        <v>Haiti</v>
      </c>
      <c r="D243" s="9" t="str">
        <f ca="1">+WORLDCUP!BD64</f>
        <v>Iran</v>
      </c>
      <c r="E243" s="9" t="str">
        <f ca="1">+WORLDCUP!BD66</f>
        <v>Iraq</v>
      </c>
      <c r="F243" s="9" t="str">
        <f ca="1">+WORLDCUP!BD61</f>
        <v>Australia</v>
      </c>
      <c r="G243" s="9" t="str">
        <f ca="1">+WORLDCUP!BD58</f>
        <v>South Korea</v>
      </c>
      <c r="H243" s="9" t="str">
        <f ca="1">+WORLDCUP!BD63</f>
        <v>Sweden</v>
      </c>
      <c r="I243" s="9" t="str">
        <f ca="1">+WORLDCUP!BD69</f>
        <v>Ghana</v>
      </c>
      <c r="J243" s="9" t="str">
        <f ca="1">+WORLDCUP!BD68</f>
        <v>Uzbekistan</v>
      </c>
      <c r="N243" s="16" t="s">
        <v>1005</v>
      </c>
      <c r="O243" s="16">
        <v>242</v>
      </c>
      <c r="P243" s="16" t="s">
        <v>92</v>
      </c>
      <c r="Q243" s="16" t="s">
        <v>445</v>
      </c>
      <c r="R243" s="16" t="s">
        <v>450</v>
      </c>
      <c r="S243" s="16" t="s">
        <v>93</v>
      </c>
      <c r="T243" s="16" t="s">
        <v>90</v>
      </c>
      <c r="U243" s="16" t="s">
        <v>95</v>
      </c>
      <c r="V243" s="16" t="s">
        <v>453</v>
      </c>
      <c r="W243" s="16" t="s">
        <v>452</v>
      </c>
    </row>
    <row r="244" spans="1:23" x14ac:dyDescent="0.2">
      <c r="A244" s="9" t="s">
        <v>1004</v>
      </c>
      <c r="B244" s="9">
        <f ca="1">+IF(A244=WORLDCUP!$BI$112,1,0)</f>
        <v>0</v>
      </c>
      <c r="C244" s="9" t="str">
        <f ca="1">+WORLDCUP!BD60</f>
        <v>Haiti</v>
      </c>
      <c r="D244" s="9" t="str">
        <f ca="1">+WORLDCUP!BD64</f>
        <v>Iran</v>
      </c>
      <c r="E244" s="9" t="str">
        <f ca="1">+WORLDCUP!BD67</f>
        <v>Austria</v>
      </c>
      <c r="F244" s="9" t="str">
        <f ca="1">+WORLDCUP!BD61</f>
        <v>Australia</v>
      </c>
      <c r="G244" s="9" t="str">
        <f ca="1">+WORLDCUP!BD58</f>
        <v>South Korea</v>
      </c>
      <c r="H244" s="9" t="str">
        <f ca="1">+WORLDCUP!BD63</f>
        <v>Sweden</v>
      </c>
      <c r="I244" s="9" t="str">
        <f ca="1">+WORLDCUP!BD69</f>
        <v>Ghana</v>
      </c>
      <c r="J244" s="9" t="str">
        <f ca="1">+WORLDCUP!BD66</f>
        <v>Iraq</v>
      </c>
      <c r="N244" s="16" t="s">
        <v>1004</v>
      </c>
      <c r="O244" s="16">
        <v>243</v>
      </c>
      <c r="P244" s="16" t="s">
        <v>92</v>
      </c>
      <c r="Q244" s="16" t="s">
        <v>445</v>
      </c>
      <c r="R244" s="16" t="s">
        <v>451</v>
      </c>
      <c r="S244" s="16" t="s">
        <v>93</v>
      </c>
      <c r="T244" s="16" t="s">
        <v>90</v>
      </c>
      <c r="U244" s="16" t="s">
        <v>95</v>
      </c>
      <c r="V244" s="16" t="s">
        <v>453</v>
      </c>
      <c r="W244" s="16" t="s">
        <v>450</v>
      </c>
    </row>
    <row r="245" spans="1:23" x14ac:dyDescent="0.2">
      <c r="A245" s="9" t="s">
        <v>1003</v>
      </c>
      <c r="B245" s="9">
        <f ca="1">+IF(A245=WORLDCUP!$BI$112,1,0)</f>
        <v>0</v>
      </c>
      <c r="C245" s="9" t="str">
        <f ca="1">+WORLDCUP!BD60</f>
        <v>Haiti</v>
      </c>
      <c r="D245" s="9" t="str">
        <f ca="1">+WORLDCUP!BD64</f>
        <v>Iran</v>
      </c>
      <c r="E245" s="9" t="str">
        <f ca="1">+WORLDCUP!BD67</f>
        <v>Austria</v>
      </c>
      <c r="F245" s="9" t="str">
        <f ca="1">+WORLDCUP!BD61</f>
        <v>Australia</v>
      </c>
      <c r="G245" s="9" t="str">
        <f ca="1">+WORLDCUP!BD58</f>
        <v>South Korea</v>
      </c>
      <c r="H245" s="9" t="str">
        <f ca="1">+WORLDCUP!BD63</f>
        <v>Sweden</v>
      </c>
      <c r="I245" s="9" t="str">
        <f ca="1">+WORLDCUP!BD66</f>
        <v>Iraq</v>
      </c>
      <c r="J245" s="9" t="str">
        <f ca="1">+WORLDCUP!BD68</f>
        <v>Uzbekistan</v>
      </c>
      <c r="N245" s="16" t="s">
        <v>1003</v>
      </c>
      <c r="O245" s="16">
        <v>244</v>
      </c>
      <c r="P245" s="16" t="s">
        <v>92</v>
      </c>
      <c r="Q245" s="16" t="s">
        <v>445</v>
      </c>
      <c r="R245" s="16" t="s">
        <v>451</v>
      </c>
      <c r="S245" s="16" t="s">
        <v>93</v>
      </c>
      <c r="T245" s="16" t="s">
        <v>90</v>
      </c>
      <c r="U245" s="16" t="s">
        <v>95</v>
      </c>
      <c r="V245" s="16" t="s">
        <v>450</v>
      </c>
      <c r="W245" s="16" t="s">
        <v>452</v>
      </c>
    </row>
    <row r="246" spans="1:23" x14ac:dyDescent="0.2">
      <c r="A246" s="9" t="s">
        <v>1002</v>
      </c>
      <c r="B246" s="9">
        <f ca="1">+IF(A246=WORLDCUP!$BI$112,1,0)</f>
        <v>0</v>
      </c>
      <c r="C246" s="9" t="str">
        <f ca="1">+WORLDCUP!BD65</f>
        <v>Saudi Arabia</v>
      </c>
      <c r="D246" s="9" t="str">
        <f ca="1">+WORLDCUP!BD64</f>
        <v>Iran</v>
      </c>
      <c r="E246" s="9" t="str">
        <f ca="1">+WORLDCUP!BD63</f>
        <v>Sweden</v>
      </c>
      <c r="F246" s="9" t="str">
        <f ca="1">+WORLDCUP!BD60</f>
        <v>Haiti</v>
      </c>
      <c r="G246" s="9" t="str">
        <f ca="1">+WORLDCUP!BD58</f>
        <v>South Korea</v>
      </c>
      <c r="H246" s="9" t="str">
        <f ca="1">+WORLDCUP!BD61</f>
        <v>Australia</v>
      </c>
      <c r="I246" s="9" t="str">
        <f ca="1">+WORLDCUP!BD69</f>
        <v>Ghana</v>
      </c>
      <c r="J246" s="9" t="str">
        <f ca="1">+WORLDCUP!BD68</f>
        <v>Uzbekistan</v>
      </c>
      <c r="N246" s="16" t="s">
        <v>1002</v>
      </c>
      <c r="O246" s="16">
        <v>245</v>
      </c>
      <c r="P246" s="16" t="s">
        <v>446</v>
      </c>
      <c r="Q246" s="16" t="s">
        <v>445</v>
      </c>
      <c r="R246" s="16" t="s">
        <v>95</v>
      </c>
      <c r="S246" s="16" t="s">
        <v>92</v>
      </c>
      <c r="T246" s="16" t="s">
        <v>90</v>
      </c>
      <c r="U246" s="16" t="s">
        <v>93</v>
      </c>
      <c r="V246" s="16" t="s">
        <v>453</v>
      </c>
      <c r="W246" s="16" t="s">
        <v>452</v>
      </c>
    </row>
    <row r="247" spans="1:23" x14ac:dyDescent="0.2">
      <c r="A247" s="9" t="s">
        <v>1001</v>
      </c>
      <c r="B247" s="9">
        <f ca="1">+IF(A247=WORLDCUP!$BI$112,1,0)</f>
        <v>0</v>
      </c>
      <c r="C247" s="9" t="str">
        <f ca="1">+WORLDCUP!BD60</f>
        <v>Haiti</v>
      </c>
      <c r="D247" s="9" t="str">
        <f ca="1">+WORLDCUP!BD64</f>
        <v>Iran</v>
      </c>
      <c r="E247" s="9" t="str">
        <f ca="1">+WORLDCUP!BD67</f>
        <v>Austria</v>
      </c>
      <c r="F247" s="9" t="str">
        <f ca="1">+WORLDCUP!BD61</f>
        <v>Australia</v>
      </c>
      <c r="G247" s="9" t="str">
        <f ca="1">+WORLDCUP!BD58</f>
        <v>South Korea</v>
      </c>
      <c r="H247" s="9" t="str">
        <f ca="1">+WORLDCUP!BD63</f>
        <v>Sweden</v>
      </c>
      <c r="I247" s="9" t="str">
        <f ca="1">+WORLDCUP!BD69</f>
        <v>Ghana</v>
      </c>
      <c r="J247" s="9" t="str">
        <f ca="1">+WORLDCUP!BD65</f>
        <v>Saudi Arabia</v>
      </c>
      <c r="N247" s="16" t="s">
        <v>1001</v>
      </c>
      <c r="O247" s="16">
        <v>246</v>
      </c>
      <c r="P247" s="16" t="s">
        <v>92</v>
      </c>
      <c r="Q247" s="16" t="s">
        <v>445</v>
      </c>
      <c r="R247" s="16" t="s">
        <v>451</v>
      </c>
      <c r="S247" s="16" t="s">
        <v>93</v>
      </c>
      <c r="T247" s="16" t="s">
        <v>90</v>
      </c>
      <c r="U247" s="16" t="s">
        <v>95</v>
      </c>
      <c r="V247" s="16" t="s">
        <v>453</v>
      </c>
      <c r="W247" s="16" t="s">
        <v>446</v>
      </c>
    </row>
    <row r="248" spans="1:23" x14ac:dyDescent="0.2">
      <c r="A248" s="9" t="s">
        <v>1000</v>
      </c>
      <c r="B248" s="9">
        <f ca="1">+IF(A248=WORLDCUP!$BI$112,1,0)</f>
        <v>0</v>
      </c>
      <c r="C248" s="9" t="str">
        <f ca="1">+WORLDCUP!BD65</f>
        <v>Saudi Arabia</v>
      </c>
      <c r="D248" s="9" t="str">
        <f ca="1">+WORLDCUP!BD64</f>
        <v>Iran</v>
      </c>
      <c r="E248" s="9" t="str">
        <f ca="1">+WORLDCUP!BD67</f>
        <v>Austria</v>
      </c>
      <c r="F248" s="9" t="str">
        <f ca="1">+WORLDCUP!BD60</f>
        <v>Haiti</v>
      </c>
      <c r="G248" s="9" t="str">
        <f ca="1">+WORLDCUP!BD58</f>
        <v>South Korea</v>
      </c>
      <c r="H248" s="9" t="str">
        <f ca="1">+WORLDCUP!BD63</f>
        <v>Sweden</v>
      </c>
      <c r="I248" s="9" t="str">
        <f ca="1">+WORLDCUP!BD61</f>
        <v>Australia</v>
      </c>
      <c r="J248" s="9" t="str">
        <f ca="1">+WORLDCUP!BD68</f>
        <v>Uzbekistan</v>
      </c>
      <c r="N248" s="16" t="s">
        <v>1000</v>
      </c>
      <c r="O248" s="16">
        <v>247</v>
      </c>
      <c r="P248" s="16" t="s">
        <v>446</v>
      </c>
      <c r="Q248" s="16" t="s">
        <v>445</v>
      </c>
      <c r="R248" s="16" t="s">
        <v>451</v>
      </c>
      <c r="S248" s="16" t="s">
        <v>92</v>
      </c>
      <c r="T248" s="16" t="s">
        <v>90</v>
      </c>
      <c r="U248" s="16" t="s">
        <v>95</v>
      </c>
      <c r="V248" s="16" t="s">
        <v>93</v>
      </c>
      <c r="W248" s="16" t="s">
        <v>452</v>
      </c>
    </row>
    <row r="249" spans="1:23" x14ac:dyDescent="0.2">
      <c r="A249" s="9" t="s">
        <v>999</v>
      </c>
      <c r="B249" s="9">
        <f ca="1">+IF(A249=WORLDCUP!$BI$112,1,0)</f>
        <v>0</v>
      </c>
      <c r="C249" s="9" t="str">
        <f ca="1">+WORLDCUP!BD65</f>
        <v>Saudi Arabia</v>
      </c>
      <c r="D249" s="9" t="str">
        <f ca="1">+WORLDCUP!BD64</f>
        <v>Iran</v>
      </c>
      <c r="E249" s="9" t="str">
        <f ca="1">+WORLDCUP!BD63</f>
        <v>Sweden</v>
      </c>
      <c r="F249" s="9" t="str">
        <f ca="1">+WORLDCUP!BD60</f>
        <v>Haiti</v>
      </c>
      <c r="G249" s="9" t="str">
        <f ca="1">+WORLDCUP!BD58</f>
        <v>South Korea</v>
      </c>
      <c r="H249" s="9" t="str">
        <f ca="1">+WORLDCUP!BD61</f>
        <v>Australia</v>
      </c>
      <c r="I249" s="9" t="str">
        <f ca="1">+WORLDCUP!BD69</f>
        <v>Ghana</v>
      </c>
      <c r="J249" s="9" t="str">
        <f ca="1">+WORLDCUP!BD66</f>
        <v>Iraq</v>
      </c>
      <c r="N249" s="16" t="s">
        <v>999</v>
      </c>
      <c r="O249" s="16">
        <v>248</v>
      </c>
      <c r="P249" s="16" t="s">
        <v>446</v>
      </c>
      <c r="Q249" s="16" t="s">
        <v>445</v>
      </c>
      <c r="R249" s="16" t="s">
        <v>95</v>
      </c>
      <c r="S249" s="16" t="s">
        <v>92</v>
      </c>
      <c r="T249" s="16" t="s">
        <v>90</v>
      </c>
      <c r="U249" s="16" t="s">
        <v>93</v>
      </c>
      <c r="V249" s="16" t="s">
        <v>453</v>
      </c>
      <c r="W249" s="16" t="s">
        <v>450</v>
      </c>
    </row>
    <row r="250" spans="1:23" x14ac:dyDescent="0.2">
      <c r="A250" s="9" t="s">
        <v>998</v>
      </c>
      <c r="B250" s="9">
        <f ca="1">+IF(A250=WORLDCUP!$BI$112,1,0)</f>
        <v>0</v>
      </c>
      <c r="C250" s="9" t="str">
        <f ca="1">+WORLDCUP!BD65</f>
        <v>Saudi Arabia</v>
      </c>
      <c r="D250" s="9" t="str">
        <f ca="1">+WORLDCUP!BD64</f>
        <v>Iran</v>
      </c>
      <c r="E250" s="9" t="str">
        <f ca="1">+WORLDCUP!BD63</f>
        <v>Sweden</v>
      </c>
      <c r="F250" s="9" t="str">
        <f ca="1">+WORLDCUP!BD60</f>
        <v>Haiti</v>
      </c>
      <c r="G250" s="9" t="str">
        <f ca="1">+WORLDCUP!BD58</f>
        <v>South Korea</v>
      </c>
      <c r="H250" s="9" t="str">
        <f ca="1">+WORLDCUP!BD61</f>
        <v>Australia</v>
      </c>
      <c r="I250" s="9" t="str">
        <f ca="1">+WORLDCUP!BD66</f>
        <v>Iraq</v>
      </c>
      <c r="J250" s="9" t="str">
        <f ca="1">+WORLDCUP!BD68</f>
        <v>Uzbekistan</v>
      </c>
      <c r="N250" s="16" t="s">
        <v>998</v>
      </c>
      <c r="O250" s="16">
        <v>249</v>
      </c>
      <c r="P250" s="16" t="s">
        <v>446</v>
      </c>
      <c r="Q250" s="16" t="s">
        <v>445</v>
      </c>
      <c r="R250" s="16" t="s">
        <v>95</v>
      </c>
      <c r="S250" s="16" t="s">
        <v>92</v>
      </c>
      <c r="T250" s="16" t="s">
        <v>90</v>
      </c>
      <c r="U250" s="16" t="s">
        <v>93</v>
      </c>
      <c r="V250" s="16" t="s">
        <v>450</v>
      </c>
      <c r="W250" s="16" t="s">
        <v>452</v>
      </c>
    </row>
    <row r="251" spans="1:23" x14ac:dyDescent="0.2">
      <c r="A251" s="9" t="s">
        <v>997</v>
      </c>
      <c r="B251" s="9">
        <f ca="1">+IF(A251=WORLDCUP!$BI$112,1,0)</f>
        <v>0</v>
      </c>
      <c r="C251" s="9" t="str">
        <f ca="1">+WORLDCUP!BD65</f>
        <v>Saudi Arabia</v>
      </c>
      <c r="D251" s="9" t="str">
        <f ca="1">+WORLDCUP!BD64</f>
        <v>Iran</v>
      </c>
      <c r="E251" s="9" t="str">
        <f ca="1">+WORLDCUP!BD67</f>
        <v>Austria</v>
      </c>
      <c r="F251" s="9" t="str">
        <f ca="1">+WORLDCUP!BD60</f>
        <v>Haiti</v>
      </c>
      <c r="G251" s="9" t="str">
        <f ca="1">+WORLDCUP!BD58</f>
        <v>South Korea</v>
      </c>
      <c r="H251" s="9" t="str">
        <f ca="1">+WORLDCUP!BD63</f>
        <v>Sweden</v>
      </c>
      <c r="I251" s="9" t="str">
        <f ca="1">+WORLDCUP!BD61</f>
        <v>Australia</v>
      </c>
      <c r="J251" s="9" t="str">
        <f ca="1">+WORLDCUP!BD66</f>
        <v>Iraq</v>
      </c>
      <c r="N251" s="16" t="s">
        <v>997</v>
      </c>
      <c r="O251" s="16">
        <v>250</v>
      </c>
      <c r="P251" s="16" t="s">
        <v>446</v>
      </c>
      <c r="Q251" s="16" t="s">
        <v>445</v>
      </c>
      <c r="R251" s="16" t="s">
        <v>451</v>
      </c>
      <c r="S251" s="16" t="s">
        <v>92</v>
      </c>
      <c r="T251" s="16" t="s">
        <v>90</v>
      </c>
      <c r="U251" s="16" t="s">
        <v>95</v>
      </c>
      <c r="V251" s="16" t="s">
        <v>93</v>
      </c>
      <c r="W251" s="16" t="s">
        <v>450</v>
      </c>
    </row>
    <row r="252" spans="1:23" x14ac:dyDescent="0.2">
      <c r="A252" s="9" t="s">
        <v>996</v>
      </c>
      <c r="B252" s="9">
        <f ca="1">+IF(A252=WORLDCUP!$BI$112,1,0)</f>
        <v>0</v>
      </c>
      <c r="C252" s="9" t="str">
        <f ca="1">+WORLDCUP!BD62</f>
        <v>Ivory Coast</v>
      </c>
      <c r="D252" s="9" t="str">
        <f ca="1">+WORLDCUP!BD67</f>
        <v>Austria</v>
      </c>
      <c r="E252" s="9" t="str">
        <f ca="1">+WORLDCUP!BD66</f>
        <v>Iraq</v>
      </c>
      <c r="F252" s="9" t="str">
        <f ca="1">+WORLDCUP!BD60</f>
        <v>Haiti</v>
      </c>
      <c r="G252" s="9" t="str">
        <f ca="1">+WORLDCUP!BD58</f>
        <v>South Korea</v>
      </c>
      <c r="H252" s="9" t="str">
        <f ca="1">+WORLDCUP!BD61</f>
        <v>Australia</v>
      </c>
      <c r="I252" s="9" t="str">
        <f ca="1">+WORLDCUP!BD69</f>
        <v>Ghana</v>
      </c>
      <c r="J252" s="9" t="str">
        <f ca="1">+WORLDCUP!BD68</f>
        <v>Uzbekistan</v>
      </c>
      <c r="N252" s="16" t="s">
        <v>996</v>
      </c>
      <c r="O252" s="16">
        <v>251</v>
      </c>
      <c r="P252" s="16" t="s">
        <v>94</v>
      </c>
      <c r="Q252" s="16" t="s">
        <v>451</v>
      </c>
      <c r="R252" s="16" t="s">
        <v>450</v>
      </c>
      <c r="S252" s="16" t="s">
        <v>92</v>
      </c>
      <c r="T252" s="16" t="s">
        <v>90</v>
      </c>
      <c r="U252" s="16" t="s">
        <v>93</v>
      </c>
      <c r="V252" s="16" t="s">
        <v>453</v>
      </c>
      <c r="W252" s="16" t="s">
        <v>452</v>
      </c>
    </row>
    <row r="253" spans="1:23" x14ac:dyDescent="0.2">
      <c r="A253" s="9" t="s">
        <v>995</v>
      </c>
      <c r="B253" s="9">
        <f ca="1">+IF(A253=WORLDCUP!$BI$112,1,0)</f>
        <v>0</v>
      </c>
      <c r="C253" s="9" t="str">
        <f ca="1">+WORLDCUP!BD65</f>
        <v>Saudi Arabia</v>
      </c>
      <c r="D253" s="9" t="str">
        <f ca="1">+WORLDCUP!BD67</f>
        <v>Austria</v>
      </c>
      <c r="E253" s="9" t="str">
        <f ca="1">+WORLDCUP!BD62</f>
        <v>Ivory Coast</v>
      </c>
      <c r="F253" s="9" t="str">
        <f ca="1">+WORLDCUP!BD60</f>
        <v>Haiti</v>
      </c>
      <c r="G253" s="9" t="str">
        <f ca="1">+WORLDCUP!BD58</f>
        <v>South Korea</v>
      </c>
      <c r="H253" s="9" t="str">
        <f ca="1">+WORLDCUP!BD61</f>
        <v>Australia</v>
      </c>
      <c r="I253" s="9" t="str">
        <f ca="1">+WORLDCUP!BD69</f>
        <v>Ghana</v>
      </c>
      <c r="J253" s="9" t="str">
        <f ca="1">+WORLDCUP!BD68</f>
        <v>Uzbekistan</v>
      </c>
      <c r="N253" s="16" t="s">
        <v>995</v>
      </c>
      <c r="O253" s="16">
        <v>252</v>
      </c>
      <c r="P253" s="16" t="s">
        <v>446</v>
      </c>
      <c r="Q253" s="16" t="s">
        <v>451</v>
      </c>
      <c r="R253" s="16" t="s">
        <v>94</v>
      </c>
      <c r="S253" s="16" t="s">
        <v>92</v>
      </c>
      <c r="T253" s="16" t="s">
        <v>90</v>
      </c>
      <c r="U253" s="16" t="s">
        <v>93</v>
      </c>
      <c r="V253" s="16" t="s">
        <v>453</v>
      </c>
      <c r="W253" s="16" t="s">
        <v>452</v>
      </c>
    </row>
    <row r="254" spans="1:23" x14ac:dyDescent="0.2">
      <c r="A254" s="9" t="s">
        <v>994</v>
      </c>
      <c r="B254" s="9">
        <f ca="1">+IF(A254=WORLDCUP!$BI$112,1,0)</f>
        <v>0</v>
      </c>
      <c r="C254" s="9" t="str">
        <f ca="1">+WORLDCUP!BD65</f>
        <v>Saudi Arabia</v>
      </c>
      <c r="D254" s="9" t="str">
        <f ca="1">+WORLDCUP!BD62</f>
        <v>Ivory Coast</v>
      </c>
      <c r="E254" s="9" t="str">
        <f ca="1">+WORLDCUP!BD66</f>
        <v>Iraq</v>
      </c>
      <c r="F254" s="9" t="str">
        <f ca="1">+WORLDCUP!BD60</f>
        <v>Haiti</v>
      </c>
      <c r="G254" s="9" t="str">
        <f ca="1">+WORLDCUP!BD58</f>
        <v>South Korea</v>
      </c>
      <c r="H254" s="9" t="str">
        <f ca="1">+WORLDCUP!BD61</f>
        <v>Australia</v>
      </c>
      <c r="I254" s="9" t="str">
        <f ca="1">+WORLDCUP!BD69</f>
        <v>Ghana</v>
      </c>
      <c r="J254" s="9" t="str">
        <f ca="1">+WORLDCUP!BD68</f>
        <v>Uzbekistan</v>
      </c>
      <c r="N254" s="16" t="s">
        <v>994</v>
      </c>
      <c r="O254" s="16">
        <v>253</v>
      </c>
      <c r="P254" s="16" t="s">
        <v>446</v>
      </c>
      <c r="Q254" s="16" t="s">
        <v>94</v>
      </c>
      <c r="R254" s="16" t="s">
        <v>450</v>
      </c>
      <c r="S254" s="16" t="s">
        <v>92</v>
      </c>
      <c r="T254" s="16" t="s">
        <v>90</v>
      </c>
      <c r="U254" s="16" t="s">
        <v>93</v>
      </c>
      <c r="V254" s="16" t="s">
        <v>453</v>
      </c>
      <c r="W254" s="16" t="s">
        <v>452</v>
      </c>
    </row>
    <row r="255" spans="1:23" x14ac:dyDescent="0.2">
      <c r="A255" s="9" t="s">
        <v>993</v>
      </c>
      <c r="B255" s="9">
        <f ca="1">+IF(A255=WORLDCUP!$BI$112,1,0)</f>
        <v>0</v>
      </c>
      <c r="C255" s="9" t="str">
        <f ca="1">+WORLDCUP!BD65</f>
        <v>Saudi Arabia</v>
      </c>
      <c r="D255" s="9" t="str">
        <f ca="1">+WORLDCUP!BD67</f>
        <v>Austria</v>
      </c>
      <c r="E255" s="9" t="str">
        <f ca="1">+WORLDCUP!BD62</f>
        <v>Ivory Coast</v>
      </c>
      <c r="F255" s="9" t="str">
        <f ca="1">+WORLDCUP!BD60</f>
        <v>Haiti</v>
      </c>
      <c r="G255" s="9" t="str">
        <f ca="1">+WORLDCUP!BD58</f>
        <v>South Korea</v>
      </c>
      <c r="H255" s="9" t="str">
        <f ca="1">+WORLDCUP!BD61</f>
        <v>Australia</v>
      </c>
      <c r="I255" s="9" t="str">
        <f ca="1">+WORLDCUP!BD69</f>
        <v>Ghana</v>
      </c>
      <c r="J255" s="9" t="str">
        <f ca="1">+WORLDCUP!BD66</f>
        <v>Iraq</v>
      </c>
      <c r="N255" s="16" t="s">
        <v>993</v>
      </c>
      <c r="O255" s="16">
        <v>254</v>
      </c>
      <c r="P255" s="16" t="s">
        <v>446</v>
      </c>
      <c r="Q255" s="16" t="s">
        <v>451</v>
      </c>
      <c r="R255" s="16" t="s">
        <v>94</v>
      </c>
      <c r="S255" s="16" t="s">
        <v>92</v>
      </c>
      <c r="T255" s="16" t="s">
        <v>90</v>
      </c>
      <c r="U255" s="16" t="s">
        <v>93</v>
      </c>
      <c r="V255" s="16" t="s">
        <v>453</v>
      </c>
      <c r="W255" s="16" t="s">
        <v>450</v>
      </c>
    </row>
    <row r="256" spans="1:23" x14ac:dyDescent="0.2">
      <c r="A256" s="9" t="s">
        <v>992</v>
      </c>
      <c r="B256" s="9">
        <f ca="1">+IF(A256=WORLDCUP!$BI$112,1,0)</f>
        <v>0</v>
      </c>
      <c r="C256" s="9" t="str">
        <f ca="1">+WORLDCUP!BD65</f>
        <v>Saudi Arabia</v>
      </c>
      <c r="D256" s="9" t="str">
        <f ca="1">+WORLDCUP!BD67</f>
        <v>Austria</v>
      </c>
      <c r="E256" s="9" t="str">
        <f ca="1">+WORLDCUP!BD62</f>
        <v>Ivory Coast</v>
      </c>
      <c r="F256" s="9" t="str">
        <f ca="1">+WORLDCUP!BD60</f>
        <v>Haiti</v>
      </c>
      <c r="G256" s="9" t="str">
        <f ca="1">+WORLDCUP!BD58</f>
        <v>South Korea</v>
      </c>
      <c r="H256" s="9" t="str">
        <f ca="1">+WORLDCUP!BD61</f>
        <v>Australia</v>
      </c>
      <c r="I256" s="9" t="str">
        <f ca="1">+WORLDCUP!BD66</f>
        <v>Iraq</v>
      </c>
      <c r="J256" s="9" t="str">
        <f ca="1">+WORLDCUP!BD68</f>
        <v>Uzbekistan</v>
      </c>
      <c r="N256" s="16" t="s">
        <v>992</v>
      </c>
      <c r="O256" s="16">
        <v>255</v>
      </c>
      <c r="P256" s="16" t="s">
        <v>446</v>
      </c>
      <c r="Q256" s="16" t="s">
        <v>451</v>
      </c>
      <c r="R256" s="16" t="s">
        <v>94</v>
      </c>
      <c r="S256" s="16" t="s">
        <v>92</v>
      </c>
      <c r="T256" s="16" t="s">
        <v>90</v>
      </c>
      <c r="U256" s="16" t="s">
        <v>93</v>
      </c>
      <c r="V256" s="16" t="s">
        <v>450</v>
      </c>
      <c r="W256" s="16" t="s">
        <v>452</v>
      </c>
    </row>
    <row r="257" spans="1:23" x14ac:dyDescent="0.2">
      <c r="A257" s="9" t="s">
        <v>991</v>
      </c>
      <c r="B257" s="9">
        <f ca="1">+IF(A257=WORLDCUP!$BI$112,1,0)</f>
        <v>0</v>
      </c>
      <c r="C257" s="9" t="str">
        <f ca="1">+WORLDCUP!BD62</f>
        <v>Ivory Coast</v>
      </c>
      <c r="D257" s="9" t="str">
        <f ca="1">+WORLDCUP!BD64</f>
        <v>Iran</v>
      </c>
      <c r="E257" s="9" t="str">
        <f ca="1">+WORLDCUP!BD67</f>
        <v>Austria</v>
      </c>
      <c r="F257" s="9" t="str">
        <f ca="1">+WORLDCUP!BD60</f>
        <v>Haiti</v>
      </c>
      <c r="G257" s="9" t="str">
        <f ca="1">+WORLDCUP!BD58</f>
        <v>South Korea</v>
      </c>
      <c r="H257" s="9" t="str">
        <f ca="1">+WORLDCUP!BD61</f>
        <v>Australia</v>
      </c>
      <c r="I257" s="9" t="str">
        <f ca="1">+WORLDCUP!BD69</f>
        <v>Ghana</v>
      </c>
      <c r="J257" s="9" t="str">
        <f ca="1">+WORLDCUP!BD68</f>
        <v>Uzbekistan</v>
      </c>
      <c r="N257" s="16" t="s">
        <v>991</v>
      </c>
      <c r="O257" s="16">
        <v>256</v>
      </c>
      <c r="P257" s="16" t="s">
        <v>94</v>
      </c>
      <c r="Q257" s="16" t="s">
        <v>445</v>
      </c>
      <c r="R257" s="16" t="s">
        <v>451</v>
      </c>
      <c r="S257" s="16" t="s">
        <v>92</v>
      </c>
      <c r="T257" s="16" t="s">
        <v>90</v>
      </c>
      <c r="U257" s="16" t="s">
        <v>93</v>
      </c>
      <c r="V257" s="16" t="s">
        <v>453</v>
      </c>
      <c r="W257" s="16" t="s">
        <v>452</v>
      </c>
    </row>
    <row r="258" spans="1:23" x14ac:dyDescent="0.2">
      <c r="A258" s="9" t="s">
        <v>990</v>
      </c>
      <c r="B258" s="9">
        <f ca="1">+IF(A258=WORLDCUP!$BI$112,1,0)</f>
        <v>0</v>
      </c>
      <c r="C258" s="9" t="str">
        <f ca="1">+WORLDCUP!BD62</f>
        <v>Ivory Coast</v>
      </c>
      <c r="D258" s="9" t="str">
        <f ca="1">+WORLDCUP!BD64</f>
        <v>Iran</v>
      </c>
      <c r="E258" s="9" t="str">
        <f ca="1">+WORLDCUP!BD66</f>
        <v>Iraq</v>
      </c>
      <c r="F258" s="9" t="str">
        <f ca="1">+WORLDCUP!BD60</f>
        <v>Haiti</v>
      </c>
      <c r="G258" s="9" t="str">
        <f ca="1">+WORLDCUP!BD58</f>
        <v>South Korea</v>
      </c>
      <c r="H258" s="9" t="str">
        <f ca="1">+WORLDCUP!BD61</f>
        <v>Australia</v>
      </c>
      <c r="I258" s="9" t="str">
        <f ca="1">+WORLDCUP!BD69</f>
        <v>Ghana</v>
      </c>
      <c r="J258" s="9" t="str">
        <f ca="1">+WORLDCUP!BD68</f>
        <v>Uzbekistan</v>
      </c>
      <c r="N258" s="16" t="s">
        <v>990</v>
      </c>
      <c r="O258" s="16">
        <v>257</v>
      </c>
      <c r="P258" s="16" t="s">
        <v>94</v>
      </c>
      <c r="Q258" s="16" t="s">
        <v>445</v>
      </c>
      <c r="R258" s="16" t="s">
        <v>450</v>
      </c>
      <c r="S258" s="16" t="s">
        <v>92</v>
      </c>
      <c r="T258" s="16" t="s">
        <v>90</v>
      </c>
      <c r="U258" s="16" t="s">
        <v>93</v>
      </c>
      <c r="V258" s="16" t="s">
        <v>453</v>
      </c>
      <c r="W258" s="16" t="s">
        <v>452</v>
      </c>
    </row>
    <row r="259" spans="1:23" x14ac:dyDescent="0.2">
      <c r="A259" s="9" t="s">
        <v>989</v>
      </c>
      <c r="B259" s="9">
        <f ca="1">+IF(A259=WORLDCUP!$BI$112,1,0)</f>
        <v>0</v>
      </c>
      <c r="C259" s="9" t="str">
        <f ca="1">+WORLDCUP!BD62</f>
        <v>Ivory Coast</v>
      </c>
      <c r="D259" s="9" t="str">
        <f ca="1">+WORLDCUP!BD64</f>
        <v>Iran</v>
      </c>
      <c r="E259" s="9" t="str">
        <f ca="1">+WORLDCUP!BD67</f>
        <v>Austria</v>
      </c>
      <c r="F259" s="9" t="str">
        <f ca="1">+WORLDCUP!BD60</f>
        <v>Haiti</v>
      </c>
      <c r="G259" s="9" t="str">
        <f ca="1">+WORLDCUP!BD58</f>
        <v>South Korea</v>
      </c>
      <c r="H259" s="9" t="str">
        <f ca="1">+WORLDCUP!BD61</f>
        <v>Australia</v>
      </c>
      <c r="I259" s="9" t="str">
        <f ca="1">+WORLDCUP!BD69</f>
        <v>Ghana</v>
      </c>
      <c r="J259" s="9" t="str">
        <f ca="1">+WORLDCUP!BD66</f>
        <v>Iraq</v>
      </c>
      <c r="N259" s="16" t="s">
        <v>989</v>
      </c>
      <c r="O259" s="16">
        <v>258</v>
      </c>
      <c r="P259" s="16" t="s">
        <v>94</v>
      </c>
      <c r="Q259" s="16" t="s">
        <v>445</v>
      </c>
      <c r="R259" s="16" t="s">
        <v>451</v>
      </c>
      <c r="S259" s="16" t="s">
        <v>92</v>
      </c>
      <c r="T259" s="16" t="s">
        <v>90</v>
      </c>
      <c r="U259" s="16" t="s">
        <v>93</v>
      </c>
      <c r="V259" s="16" t="s">
        <v>453</v>
      </c>
      <c r="W259" s="16" t="s">
        <v>450</v>
      </c>
    </row>
    <row r="260" spans="1:23" x14ac:dyDescent="0.2">
      <c r="A260" s="9" t="s">
        <v>988</v>
      </c>
      <c r="B260" s="9">
        <f ca="1">+IF(A260=WORLDCUP!$BI$112,1,0)</f>
        <v>0</v>
      </c>
      <c r="C260" s="9" t="str">
        <f ca="1">+WORLDCUP!BD62</f>
        <v>Ivory Coast</v>
      </c>
      <c r="D260" s="9" t="str">
        <f ca="1">+WORLDCUP!BD64</f>
        <v>Iran</v>
      </c>
      <c r="E260" s="9" t="str">
        <f ca="1">+WORLDCUP!BD67</f>
        <v>Austria</v>
      </c>
      <c r="F260" s="9" t="str">
        <f ca="1">+WORLDCUP!BD60</f>
        <v>Haiti</v>
      </c>
      <c r="G260" s="9" t="str">
        <f ca="1">+WORLDCUP!BD58</f>
        <v>South Korea</v>
      </c>
      <c r="H260" s="9" t="str">
        <f ca="1">+WORLDCUP!BD61</f>
        <v>Australia</v>
      </c>
      <c r="I260" s="9" t="str">
        <f ca="1">+WORLDCUP!BD66</f>
        <v>Iraq</v>
      </c>
      <c r="J260" s="9" t="str">
        <f ca="1">+WORLDCUP!BD68</f>
        <v>Uzbekistan</v>
      </c>
      <c r="N260" s="16" t="s">
        <v>988</v>
      </c>
      <c r="O260" s="16">
        <v>259</v>
      </c>
      <c r="P260" s="16" t="s">
        <v>94</v>
      </c>
      <c r="Q260" s="16" t="s">
        <v>445</v>
      </c>
      <c r="R260" s="16" t="s">
        <v>451</v>
      </c>
      <c r="S260" s="16" t="s">
        <v>92</v>
      </c>
      <c r="T260" s="16" t="s">
        <v>90</v>
      </c>
      <c r="U260" s="16" t="s">
        <v>93</v>
      </c>
      <c r="V260" s="16" t="s">
        <v>450</v>
      </c>
      <c r="W260" s="16" t="s">
        <v>452</v>
      </c>
    </row>
    <row r="261" spans="1:23" x14ac:dyDescent="0.2">
      <c r="A261" s="9" t="s">
        <v>987</v>
      </c>
      <c r="B261" s="9">
        <f ca="1">+IF(A261=WORLDCUP!$BI$112,1,0)</f>
        <v>0</v>
      </c>
      <c r="C261" s="9" t="str">
        <f ca="1">+WORLDCUP!BD65</f>
        <v>Saudi Arabia</v>
      </c>
      <c r="D261" s="9" t="str">
        <f ca="1">+WORLDCUP!BD64</f>
        <v>Iran</v>
      </c>
      <c r="E261" s="9" t="str">
        <f ca="1">+WORLDCUP!BD62</f>
        <v>Ivory Coast</v>
      </c>
      <c r="F261" s="9" t="str">
        <f ca="1">+WORLDCUP!BD60</f>
        <v>Haiti</v>
      </c>
      <c r="G261" s="9" t="str">
        <f ca="1">+WORLDCUP!BD58</f>
        <v>South Korea</v>
      </c>
      <c r="H261" s="9" t="str">
        <f ca="1">+WORLDCUP!BD61</f>
        <v>Australia</v>
      </c>
      <c r="I261" s="9" t="str">
        <f ca="1">+WORLDCUP!BD69</f>
        <v>Ghana</v>
      </c>
      <c r="J261" s="9" t="str">
        <f ca="1">+WORLDCUP!BD68</f>
        <v>Uzbekistan</v>
      </c>
      <c r="N261" s="16" t="s">
        <v>987</v>
      </c>
      <c r="O261" s="16">
        <v>260</v>
      </c>
      <c r="P261" s="16" t="s">
        <v>446</v>
      </c>
      <c r="Q261" s="16" t="s">
        <v>445</v>
      </c>
      <c r="R261" s="16" t="s">
        <v>94</v>
      </c>
      <c r="S261" s="16" t="s">
        <v>92</v>
      </c>
      <c r="T261" s="16" t="s">
        <v>90</v>
      </c>
      <c r="U261" s="16" t="s">
        <v>93</v>
      </c>
      <c r="V261" s="16" t="s">
        <v>453</v>
      </c>
      <c r="W261" s="16" t="s">
        <v>452</v>
      </c>
    </row>
    <row r="262" spans="1:23" x14ac:dyDescent="0.2">
      <c r="A262" s="9" t="s">
        <v>986</v>
      </c>
      <c r="B262" s="9">
        <f ca="1">+IF(A262=WORLDCUP!$BI$112,1,0)</f>
        <v>0</v>
      </c>
      <c r="C262" s="9" t="str">
        <f ca="1">+WORLDCUP!BD65</f>
        <v>Saudi Arabia</v>
      </c>
      <c r="D262" s="9" t="str">
        <f ca="1">+WORLDCUP!BD64</f>
        <v>Iran</v>
      </c>
      <c r="E262" s="9" t="str">
        <f ca="1">+WORLDCUP!BD67</f>
        <v>Austria</v>
      </c>
      <c r="F262" s="9" t="str">
        <f ca="1">+WORLDCUP!BD60</f>
        <v>Haiti</v>
      </c>
      <c r="G262" s="9" t="str">
        <f ca="1">+WORLDCUP!BD58</f>
        <v>South Korea</v>
      </c>
      <c r="H262" s="9" t="str">
        <f ca="1">+WORLDCUP!BD61</f>
        <v>Australia</v>
      </c>
      <c r="I262" s="9" t="str">
        <f ca="1">+WORLDCUP!BD69</f>
        <v>Ghana</v>
      </c>
      <c r="J262" s="9" t="str">
        <f ca="1">+WORLDCUP!BD62</f>
        <v>Ivory Coast</v>
      </c>
      <c r="N262" s="16" t="s">
        <v>986</v>
      </c>
      <c r="O262" s="16">
        <v>261</v>
      </c>
      <c r="P262" s="16" t="s">
        <v>446</v>
      </c>
      <c r="Q262" s="16" t="s">
        <v>445</v>
      </c>
      <c r="R262" s="16" t="s">
        <v>451</v>
      </c>
      <c r="S262" s="16" t="s">
        <v>92</v>
      </c>
      <c r="T262" s="16" t="s">
        <v>90</v>
      </c>
      <c r="U262" s="16" t="s">
        <v>93</v>
      </c>
      <c r="V262" s="16" t="s">
        <v>453</v>
      </c>
      <c r="W262" s="16" t="s">
        <v>94</v>
      </c>
    </row>
    <row r="263" spans="1:23" x14ac:dyDescent="0.2">
      <c r="A263" s="9" t="s">
        <v>985</v>
      </c>
      <c r="B263" s="9">
        <f ca="1">+IF(A263=WORLDCUP!$BI$112,1,0)</f>
        <v>0</v>
      </c>
      <c r="C263" s="9" t="str">
        <f ca="1">+WORLDCUP!BD65</f>
        <v>Saudi Arabia</v>
      </c>
      <c r="D263" s="9" t="str">
        <f ca="1">+WORLDCUP!BD64</f>
        <v>Iran</v>
      </c>
      <c r="E263" s="9" t="str">
        <f ca="1">+WORLDCUP!BD67</f>
        <v>Austria</v>
      </c>
      <c r="F263" s="9" t="str">
        <f ca="1">+WORLDCUP!BD60</f>
        <v>Haiti</v>
      </c>
      <c r="G263" s="9" t="str">
        <f ca="1">+WORLDCUP!BD58</f>
        <v>South Korea</v>
      </c>
      <c r="H263" s="9" t="str">
        <f ca="1">+WORLDCUP!BD61</f>
        <v>Australia</v>
      </c>
      <c r="I263" s="9" t="str">
        <f ca="1">+WORLDCUP!BD62</f>
        <v>Ivory Coast</v>
      </c>
      <c r="J263" s="9" t="str">
        <f ca="1">+WORLDCUP!BD68</f>
        <v>Uzbekistan</v>
      </c>
      <c r="N263" s="16" t="s">
        <v>985</v>
      </c>
      <c r="O263" s="16">
        <v>262</v>
      </c>
      <c r="P263" s="16" t="s">
        <v>446</v>
      </c>
      <c r="Q263" s="16" t="s">
        <v>445</v>
      </c>
      <c r="R263" s="16" t="s">
        <v>451</v>
      </c>
      <c r="S263" s="16" t="s">
        <v>92</v>
      </c>
      <c r="T263" s="16" t="s">
        <v>90</v>
      </c>
      <c r="U263" s="16" t="s">
        <v>93</v>
      </c>
      <c r="V263" s="16" t="s">
        <v>94</v>
      </c>
      <c r="W263" s="16" t="s">
        <v>452</v>
      </c>
    </row>
    <row r="264" spans="1:23" x14ac:dyDescent="0.2">
      <c r="A264" s="9" t="s">
        <v>984</v>
      </c>
      <c r="B264" s="9">
        <f ca="1">+IF(A264=WORLDCUP!$BI$112,1,0)</f>
        <v>0</v>
      </c>
      <c r="C264" s="9" t="str">
        <f ca="1">+WORLDCUP!BD65</f>
        <v>Saudi Arabia</v>
      </c>
      <c r="D264" s="9" t="str">
        <f ca="1">+WORLDCUP!BD64</f>
        <v>Iran</v>
      </c>
      <c r="E264" s="9" t="str">
        <f ca="1">+WORLDCUP!BD62</f>
        <v>Ivory Coast</v>
      </c>
      <c r="F264" s="9" t="str">
        <f ca="1">+WORLDCUP!BD60</f>
        <v>Haiti</v>
      </c>
      <c r="G264" s="9" t="str">
        <f ca="1">+WORLDCUP!BD58</f>
        <v>South Korea</v>
      </c>
      <c r="H264" s="9" t="str">
        <f ca="1">+WORLDCUP!BD61</f>
        <v>Australia</v>
      </c>
      <c r="I264" s="9" t="str">
        <f ca="1">+WORLDCUP!BD69</f>
        <v>Ghana</v>
      </c>
      <c r="J264" s="9" t="str">
        <f ca="1">+WORLDCUP!BD66</f>
        <v>Iraq</v>
      </c>
      <c r="N264" s="16" t="s">
        <v>984</v>
      </c>
      <c r="O264" s="16">
        <v>263</v>
      </c>
      <c r="P264" s="16" t="s">
        <v>446</v>
      </c>
      <c r="Q264" s="16" t="s">
        <v>445</v>
      </c>
      <c r="R264" s="16" t="s">
        <v>94</v>
      </c>
      <c r="S264" s="16" t="s">
        <v>92</v>
      </c>
      <c r="T264" s="16" t="s">
        <v>90</v>
      </c>
      <c r="U264" s="16" t="s">
        <v>93</v>
      </c>
      <c r="V264" s="16" t="s">
        <v>453</v>
      </c>
      <c r="W264" s="16" t="s">
        <v>450</v>
      </c>
    </row>
    <row r="265" spans="1:23" x14ac:dyDescent="0.2">
      <c r="A265" s="9" t="s">
        <v>983</v>
      </c>
      <c r="B265" s="9">
        <f ca="1">+IF(A265=WORLDCUP!$BI$112,1,0)</f>
        <v>0</v>
      </c>
      <c r="C265" s="9" t="str">
        <f ca="1">+WORLDCUP!BD65</f>
        <v>Saudi Arabia</v>
      </c>
      <c r="D265" s="9" t="str">
        <f ca="1">+WORLDCUP!BD64</f>
        <v>Iran</v>
      </c>
      <c r="E265" s="9" t="str">
        <f ca="1">+WORLDCUP!BD62</f>
        <v>Ivory Coast</v>
      </c>
      <c r="F265" s="9" t="str">
        <f ca="1">+WORLDCUP!BD60</f>
        <v>Haiti</v>
      </c>
      <c r="G265" s="9" t="str">
        <f ca="1">+WORLDCUP!BD58</f>
        <v>South Korea</v>
      </c>
      <c r="H265" s="9" t="str">
        <f ca="1">+WORLDCUP!BD61</f>
        <v>Australia</v>
      </c>
      <c r="I265" s="9" t="str">
        <f ca="1">+WORLDCUP!BD66</f>
        <v>Iraq</v>
      </c>
      <c r="J265" s="9" t="str">
        <f ca="1">+WORLDCUP!BD68</f>
        <v>Uzbekistan</v>
      </c>
      <c r="N265" s="16" t="s">
        <v>983</v>
      </c>
      <c r="O265" s="16">
        <v>264</v>
      </c>
      <c r="P265" s="16" t="s">
        <v>446</v>
      </c>
      <c r="Q265" s="16" t="s">
        <v>445</v>
      </c>
      <c r="R265" s="16" t="s">
        <v>94</v>
      </c>
      <c r="S265" s="16" t="s">
        <v>92</v>
      </c>
      <c r="T265" s="16" t="s">
        <v>90</v>
      </c>
      <c r="U265" s="16" t="s">
        <v>93</v>
      </c>
      <c r="V265" s="16" t="s">
        <v>450</v>
      </c>
      <c r="W265" s="16" t="s">
        <v>452</v>
      </c>
    </row>
    <row r="266" spans="1:23" x14ac:dyDescent="0.2">
      <c r="A266" s="9" t="s">
        <v>982</v>
      </c>
      <c r="B266" s="9">
        <f ca="1">+IF(A266=WORLDCUP!$BI$112,1,0)</f>
        <v>0</v>
      </c>
      <c r="C266" s="9" t="str">
        <f ca="1">+WORLDCUP!BD65</f>
        <v>Saudi Arabia</v>
      </c>
      <c r="D266" s="9" t="str">
        <f ca="1">+WORLDCUP!BD64</f>
        <v>Iran</v>
      </c>
      <c r="E266" s="9" t="str">
        <f ca="1">+WORLDCUP!BD67</f>
        <v>Austria</v>
      </c>
      <c r="F266" s="9" t="str">
        <f ca="1">+WORLDCUP!BD60</f>
        <v>Haiti</v>
      </c>
      <c r="G266" s="9" t="str">
        <f ca="1">+WORLDCUP!BD58</f>
        <v>South Korea</v>
      </c>
      <c r="H266" s="9" t="str">
        <f ca="1">+WORLDCUP!BD61</f>
        <v>Australia</v>
      </c>
      <c r="I266" s="9" t="str">
        <f ca="1">+WORLDCUP!BD62</f>
        <v>Ivory Coast</v>
      </c>
      <c r="J266" s="9" t="str">
        <f ca="1">+WORLDCUP!BD66</f>
        <v>Iraq</v>
      </c>
      <c r="N266" s="16" t="s">
        <v>982</v>
      </c>
      <c r="O266" s="16">
        <v>265</v>
      </c>
      <c r="P266" s="16" t="s">
        <v>446</v>
      </c>
      <c r="Q266" s="16" t="s">
        <v>445</v>
      </c>
      <c r="R266" s="16" t="s">
        <v>451</v>
      </c>
      <c r="S266" s="16" t="s">
        <v>92</v>
      </c>
      <c r="T266" s="16" t="s">
        <v>90</v>
      </c>
      <c r="U266" s="16" t="s">
        <v>93</v>
      </c>
      <c r="V266" s="16" t="s">
        <v>94</v>
      </c>
      <c r="W266" s="16" t="s">
        <v>450</v>
      </c>
    </row>
    <row r="267" spans="1:23" x14ac:dyDescent="0.2">
      <c r="A267" s="9" t="s">
        <v>981</v>
      </c>
      <c r="B267" s="9">
        <f ca="1">+IF(A267=WORLDCUP!$BI$112,1,0)</f>
        <v>0</v>
      </c>
      <c r="C267" s="9" t="str">
        <f ca="1">+WORLDCUP!BD60</f>
        <v>Haiti</v>
      </c>
      <c r="D267" s="9" t="str">
        <f ca="1">+WORLDCUP!BD67</f>
        <v>Austria</v>
      </c>
      <c r="E267" s="9" t="str">
        <f ca="1">+WORLDCUP!BD62</f>
        <v>Ivory Coast</v>
      </c>
      <c r="F267" s="9" t="str">
        <f ca="1">+WORLDCUP!BD61</f>
        <v>Australia</v>
      </c>
      <c r="G267" s="9" t="str">
        <f ca="1">+WORLDCUP!BD58</f>
        <v>South Korea</v>
      </c>
      <c r="H267" s="9" t="str">
        <f ca="1">+WORLDCUP!BD63</f>
        <v>Sweden</v>
      </c>
      <c r="I267" s="9" t="str">
        <f ca="1">+WORLDCUP!BD69</f>
        <v>Ghana</v>
      </c>
      <c r="J267" s="9" t="str">
        <f ca="1">+WORLDCUP!BD68</f>
        <v>Uzbekistan</v>
      </c>
      <c r="N267" s="16" t="s">
        <v>981</v>
      </c>
      <c r="O267" s="16">
        <v>266</v>
      </c>
      <c r="P267" s="16" t="s">
        <v>92</v>
      </c>
      <c r="Q267" s="16" t="s">
        <v>451</v>
      </c>
      <c r="R267" s="16" t="s">
        <v>94</v>
      </c>
      <c r="S267" s="16" t="s">
        <v>93</v>
      </c>
      <c r="T267" s="16" t="s">
        <v>90</v>
      </c>
      <c r="U267" s="16" t="s">
        <v>95</v>
      </c>
      <c r="V267" s="16" t="s">
        <v>453</v>
      </c>
      <c r="W267" s="16" t="s">
        <v>452</v>
      </c>
    </row>
    <row r="268" spans="1:23" x14ac:dyDescent="0.2">
      <c r="A268" s="9" t="s">
        <v>980</v>
      </c>
      <c r="B268" s="9">
        <f ca="1">+IF(A268=WORLDCUP!$BI$112,1,0)</f>
        <v>0</v>
      </c>
      <c r="C268" s="9" t="str">
        <f ca="1">+WORLDCUP!BD60</f>
        <v>Haiti</v>
      </c>
      <c r="D268" s="9" t="str">
        <f ca="1">+WORLDCUP!BD62</f>
        <v>Ivory Coast</v>
      </c>
      <c r="E268" s="9" t="str">
        <f ca="1">+WORLDCUP!BD66</f>
        <v>Iraq</v>
      </c>
      <c r="F268" s="9" t="str">
        <f ca="1">+WORLDCUP!BD61</f>
        <v>Australia</v>
      </c>
      <c r="G268" s="9" t="str">
        <f ca="1">+WORLDCUP!BD58</f>
        <v>South Korea</v>
      </c>
      <c r="H268" s="9" t="str">
        <f ca="1">+WORLDCUP!BD63</f>
        <v>Sweden</v>
      </c>
      <c r="I268" s="9" t="str">
        <f ca="1">+WORLDCUP!BD69</f>
        <v>Ghana</v>
      </c>
      <c r="J268" s="9" t="str">
        <f ca="1">+WORLDCUP!BD68</f>
        <v>Uzbekistan</v>
      </c>
      <c r="N268" s="16" t="s">
        <v>980</v>
      </c>
      <c r="O268" s="16">
        <v>267</v>
      </c>
      <c r="P268" s="16" t="s">
        <v>92</v>
      </c>
      <c r="Q268" s="16" t="s">
        <v>94</v>
      </c>
      <c r="R268" s="16" t="s">
        <v>450</v>
      </c>
      <c r="S268" s="16" t="s">
        <v>93</v>
      </c>
      <c r="T268" s="16" t="s">
        <v>90</v>
      </c>
      <c r="U268" s="16" t="s">
        <v>95</v>
      </c>
      <c r="V268" s="16" t="s">
        <v>453</v>
      </c>
      <c r="W268" s="16" t="s">
        <v>452</v>
      </c>
    </row>
    <row r="269" spans="1:23" x14ac:dyDescent="0.2">
      <c r="A269" s="9" t="s">
        <v>979</v>
      </c>
      <c r="B269" s="9">
        <f ca="1">+IF(A269=WORLDCUP!$BI$112,1,0)</f>
        <v>0</v>
      </c>
      <c r="C269" s="9" t="str">
        <f ca="1">+WORLDCUP!BD60</f>
        <v>Haiti</v>
      </c>
      <c r="D269" s="9" t="str">
        <f ca="1">+WORLDCUP!BD67</f>
        <v>Austria</v>
      </c>
      <c r="E269" s="9" t="str">
        <f ca="1">+WORLDCUP!BD62</f>
        <v>Ivory Coast</v>
      </c>
      <c r="F269" s="9" t="str">
        <f ca="1">+WORLDCUP!BD61</f>
        <v>Australia</v>
      </c>
      <c r="G269" s="9" t="str">
        <f ca="1">+WORLDCUP!BD58</f>
        <v>South Korea</v>
      </c>
      <c r="H269" s="9" t="str">
        <f ca="1">+WORLDCUP!BD63</f>
        <v>Sweden</v>
      </c>
      <c r="I269" s="9" t="str">
        <f ca="1">+WORLDCUP!BD69</f>
        <v>Ghana</v>
      </c>
      <c r="J269" s="9" t="str">
        <f ca="1">+WORLDCUP!BD66</f>
        <v>Iraq</v>
      </c>
      <c r="N269" s="16" t="s">
        <v>979</v>
      </c>
      <c r="O269" s="16">
        <v>268</v>
      </c>
      <c r="P269" s="16" t="s">
        <v>92</v>
      </c>
      <c r="Q269" s="16" t="s">
        <v>451</v>
      </c>
      <c r="R269" s="16" t="s">
        <v>94</v>
      </c>
      <c r="S269" s="16" t="s">
        <v>93</v>
      </c>
      <c r="T269" s="16" t="s">
        <v>90</v>
      </c>
      <c r="U269" s="16" t="s">
        <v>95</v>
      </c>
      <c r="V269" s="16" t="s">
        <v>453</v>
      </c>
      <c r="W269" s="16" t="s">
        <v>450</v>
      </c>
    </row>
    <row r="270" spans="1:23" x14ac:dyDescent="0.2">
      <c r="A270" s="9" t="s">
        <v>978</v>
      </c>
      <c r="B270" s="9">
        <f ca="1">+IF(A270=WORLDCUP!$BI$112,1,0)</f>
        <v>0</v>
      </c>
      <c r="C270" s="9" t="str">
        <f ca="1">+WORLDCUP!BD60</f>
        <v>Haiti</v>
      </c>
      <c r="D270" s="9" t="str">
        <f ca="1">+WORLDCUP!BD67</f>
        <v>Austria</v>
      </c>
      <c r="E270" s="9" t="str">
        <f ca="1">+WORLDCUP!BD62</f>
        <v>Ivory Coast</v>
      </c>
      <c r="F270" s="9" t="str">
        <f ca="1">+WORLDCUP!BD61</f>
        <v>Australia</v>
      </c>
      <c r="G270" s="9" t="str">
        <f ca="1">+WORLDCUP!BD58</f>
        <v>South Korea</v>
      </c>
      <c r="H270" s="9" t="str">
        <f ca="1">+WORLDCUP!BD63</f>
        <v>Sweden</v>
      </c>
      <c r="I270" s="9" t="str">
        <f ca="1">+WORLDCUP!BD66</f>
        <v>Iraq</v>
      </c>
      <c r="J270" s="9" t="str">
        <f ca="1">+WORLDCUP!BD68</f>
        <v>Uzbekistan</v>
      </c>
      <c r="N270" s="16" t="s">
        <v>978</v>
      </c>
      <c r="O270" s="16">
        <v>269</v>
      </c>
      <c r="P270" s="16" t="s">
        <v>92</v>
      </c>
      <c r="Q270" s="16" t="s">
        <v>451</v>
      </c>
      <c r="R270" s="16" t="s">
        <v>94</v>
      </c>
      <c r="S270" s="16" t="s">
        <v>93</v>
      </c>
      <c r="T270" s="16" t="s">
        <v>90</v>
      </c>
      <c r="U270" s="16" t="s">
        <v>95</v>
      </c>
      <c r="V270" s="16" t="s">
        <v>450</v>
      </c>
      <c r="W270" s="16" t="s">
        <v>452</v>
      </c>
    </row>
    <row r="271" spans="1:23" x14ac:dyDescent="0.2">
      <c r="A271" s="9" t="s">
        <v>977</v>
      </c>
      <c r="B271" s="9">
        <f ca="1">+IF(A271=WORLDCUP!$BI$112,1,0)</f>
        <v>0</v>
      </c>
      <c r="C271" s="9" t="str">
        <f ca="1">+WORLDCUP!BD65</f>
        <v>Saudi Arabia</v>
      </c>
      <c r="D271" s="9" t="str">
        <f ca="1">+WORLDCUP!BD62</f>
        <v>Ivory Coast</v>
      </c>
      <c r="E271" s="9" t="str">
        <f ca="1">+WORLDCUP!BD63</f>
        <v>Sweden</v>
      </c>
      <c r="F271" s="9" t="str">
        <f ca="1">+WORLDCUP!BD60</f>
        <v>Haiti</v>
      </c>
      <c r="G271" s="9" t="str">
        <f ca="1">+WORLDCUP!BD58</f>
        <v>South Korea</v>
      </c>
      <c r="H271" s="9" t="str">
        <f ca="1">+WORLDCUP!BD61</f>
        <v>Australia</v>
      </c>
      <c r="I271" s="9" t="str">
        <f ca="1">+WORLDCUP!BD69</f>
        <v>Ghana</v>
      </c>
      <c r="J271" s="9" t="str">
        <f ca="1">+WORLDCUP!BD68</f>
        <v>Uzbekistan</v>
      </c>
      <c r="N271" s="16" t="s">
        <v>977</v>
      </c>
      <c r="O271" s="16">
        <v>270</v>
      </c>
      <c r="P271" s="16" t="s">
        <v>446</v>
      </c>
      <c r="Q271" s="16" t="s">
        <v>94</v>
      </c>
      <c r="R271" s="16" t="s">
        <v>95</v>
      </c>
      <c r="S271" s="16" t="s">
        <v>92</v>
      </c>
      <c r="T271" s="16" t="s">
        <v>90</v>
      </c>
      <c r="U271" s="16" t="s">
        <v>93</v>
      </c>
      <c r="V271" s="16" t="s">
        <v>453</v>
      </c>
      <c r="W271" s="16" t="s">
        <v>452</v>
      </c>
    </row>
    <row r="272" spans="1:23" x14ac:dyDescent="0.2">
      <c r="A272" s="9" t="s">
        <v>976</v>
      </c>
      <c r="B272" s="9">
        <f ca="1">+IF(A272=WORLDCUP!$BI$112,1,0)</f>
        <v>0</v>
      </c>
      <c r="C272" s="9" t="str">
        <f ca="1">+WORLDCUP!BD65</f>
        <v>Saudi Arabia</v>
      </c>
      <c r="D272" s="9" t="str">
        <f ca="1">+WORLDCUP!BD67</f>
        <v>Austria</v>
      </c>
      <c r="E272" s="9" t="str">
        <f ca="1">+WORLDCUP!BD63</f>
        <v>Sweden</v>
      </c>
      <c r="F272" s="9" t="str">
        <f ca="1">+WORLDCUP!BD60</f>
        <v>Haiti</v>
      </c>
      <c r="G272" s="9" t="str">
        <f ca="1">+WORLDCUP!BD58</f>
        <v>South Korea</v>
      </c>
      <c r="H272" s="9" t="str">
        <f ca="1">+WORLDCUP!BD61</f>
        <v>Australia</v>
      </c>
      <c r="I272" s="9" t="str">
        <f ca="1">+WORLDCUP!BD69</f>
        <v>Ghana</v>
      </c>
      <c r="J272" s="9" t="str">
        <f ca="1">+WORLDCUP!BD62</f>
        <v>Ivory Coast</v>
      </c>
      <c r="N272" s="16" t="s">
        <v>976</v>
      </c>
      <c r="O272" s="16">
        <v>271</v>
      </c>
      <c r="P272" s="16" t="s">
        <v>446</v>
      </c>
      <c r="Q272" s="16" t="s">
        <v>451</v>
      </c>
      <c r="R272" s="16" t="s">
        <v>95</v>
      </c>
      <c r="S272" s="16" t="s">
        <v>92</v>
      </c>
      <c r="T272" s="16" t="s">
        <v>90</v>
      </c>
      <c r="U272" s="16" t="s">
        <v>93</v>
      </c>
      <c r="V272" s="16" t="s">
        <v>453</v>
      </c>
      <c r="W272" s="16" t="s">
        <v>94</v>
      </c>
    </row>
    <row r="273" spans="1:23" x14ac:dyDescent="0.2">
      <c r="A273" s="9" t="s">
        <v>975</v>
      </c>
      <c r="B273" s="9">
        <f ca="1">+IF(A273=WORLDCUP!$BI$112,1,0)</f>
        <v>0</v>
      </c>
      <c r="C273" s="9" t="str">
        <f ca="1">+WORLDCUP!BD65</f>
        <v>Saudi Arabia</v>
      </c>
      <c r="D273" s="9" t="str">
        <f ca="1">+WORLDCUP!BD67</f>
        <v>Austria</v>
      </c>
      <c r="E273" s="9" t="str">
        <f ca="1">+WORLDCUP!BD62</f>
        <v>Ivory Coast</v>
      </c>
      <c r="F273" s="9" t="str">
        <f ca="1">+WORLDCUP!BD60</f>
        <v>Haiti</v>
      </c>
      <c r="G273" s="9" t="str">
        <f ca="1">+WORLDCUP!BD58</f>
        <v>South Korea</v>
      </c>
      <c r="H273" s="9" t="str">
        <f ca="1">+WORLDCUP!BD63</f>
        <v>Sweden</v>
      </c>
      <c r="I273" s="9" t="str">
        <f ca="1">+WORLDCUP!BD61</f>
        <v>Australia</v>
      </c>
      <c r="J273" s="9" t="str">
        <f ca="1">+WORLDCUP!BD68</f>
        <v>Uzbekistan</v>
      </c>
      <c r="N273" s="16" t="s">
        <v>975</v>
      </c>
      <c r="O273" s="16">
        <v>272</v>
      </c>
      <c r="P273" s="16" t="s">
        <v>446</v>
      </c>
      <c r="Q273" s="16" t="s">
        <v>451</v>
      </c>
      <c r="R273" s="16" t="s">
        <v>94</v>
      </c>
      <c r="S273" s="16" t="s">
        <v>92</v>
      </c>
      <c r="T273" s="16" t="s">
        <v>90</v>
      </c>
      <c r="U273" s="16" t="s">
        <v>95</v>
      </c>
      <c r="V273" s="16" t="s">
        <v>93</v>
      </c>
      <c r="W273" s="16" t="s">
        <v>452</v>
      </c>
    </row>
    <row r="274" spans="1:23" x14ac:dyDescent="0.2">
      <c r="A274" s="9" t="s">
        <v>974</v>
      </c>
      <c r="B274" s="9">
        <f ca="1">+IF(A274=WORLDCUP!$BI$112,1,0)</f>
        <v>0</v>
      </c>
      <c r="C274" s="9" t="str">
        <f ca="1">+WORLDCUP!BD65</f>
        <v>Saudi Arabia</v>
      </c>
      <c r="D274" s="9" t="str">
        <f ca="1">+WORLDCUP!BD62</f>
        <v>Ivory Coast</v>
      </c>
      <c r="E274" s="9" t="str">
        <f ca="1">+WORLDCUP!BD63</f>
        <v>Sweden</v>
      </c>
      <c r="F274" s="9" t="str">
        <f ca="1">+WORLDCUP!BD60</f>
        <v>Haiti</v>
      </c>
      <c r="G274" s="9" t="str">
        <f ca="1">+WORLDCUP!BD58</f>
        <v>South Korea</v>
      </c>
      <c r="H274" s="9" t="str">
        <f ca="1">+WORLDCUP!BD61</f>
        <v>Australia</v>
      </c>
      <c r="I274" s="9" t="str">
        <f ca="1">+WORLDCUP!BD69</f>
        <v>Ghana</v>
      </c>
      <c r="J274" s="9" t="str">
        <f ca="1">+WORLDCUP!BD66</f>
        <v>Iraq</v>
      </c>
      <c r="N274" s="16" t="s">
        <v>974</v>
      </c>
      <c r="O274" s="16">
        <v>273</v>
      </c>
      <c r="P274" s="16" t="s">
        <v>446</v>
      </c>
      <c r="Q274" s="16" t="s">
        <v>94</v>
      </c>
      <c r="R274" s="16" t="s">
        <v>95</v>
      </c>
      <c r="S274" s="16" t="s">
        <v>92</v>
      </c>
      <c r="T274" s="16" t="s">
        <v>90</v>
      </c>
      <c r="U274" s="16" t="s">
        <v>93</v>
      </c>
      <c r="V274" s="16" t="s">
        <v>453</v>
      </c>
      <c r="W274" s="16" t="s">
        <v>450</v>
      </c>
    </row>
    <row r="275" spans="1:23" x14ac:dyDescent="0.2">
      <c r="A275" s="9" t="s">
        <v>973</v>
      </c>
      <c r="B275" s="9">
        <f ca="1">+IF(A275=WORLDCUP!$BI$112,1,0)</f>
        <v>0</v>
      </c>
      <c r="C275" s="9" t="str">
        <f ca="1">+WORLDCUP!BD65</f>
        <v>Saudi Arabia</v>
      </c>
      <c r="D275" s="9" t="str">
        <f ca="1">+WORLDCUP!BD62</f>
        <v>Ivory Coast</v>
      </c>
      <c r="E275" s="9" t="str">
        <f ca="1">+WORLDCUP!BD63</f>
        <v>Sweden</v>
      </c>
      <c r="F275" s="9" t="str">
        <f ca="1">+WORLDCUP!BD60</f>
        <v>Haiti</v>
      </c>
      <c r="G275" s="9" t="str">
        <f ca="1">+WORLDCUP!BD58</f>
        <v>South Korea</v>
      </c>
      <c r="H275" s="9" t="str">
        <f ca="1">+WORLDCUP!BD61</f>
        <v>Australia</v>
      </c>
      <c r="I275" s="9" t="str">
        <f ca="1">+WORLDCUP!BD66</f>
        <v>Iraq</v>
      </c>
      <c r="J275" s="9" t="str">
        <f ca="1">+WORLDCUP!BD68</f>
        <v>Uzbekistan</v>
      </c>
      <c r="N275" s="16" t="s">
        <v>973</v>
      </c>
      <c r="O275" s="16">
        <v>274</v>
      </c>
      <c r="P275" s="16" t="s">
        <v>446</v>
      </c>
      <c r="Q275" s="16" t="s">
        <v>94</v>
      </c>
      <c r="R275" s="16" t="s">
        <v>95</v>
      </c>
      <c r="S275" s="16" t="s">
        <v>92</v>
      </c>
      <c r="T275" s="16" t="s">
        <v>90</v>
      </c>
      <c r="U275" s="16" t="s">
        <v>93</v>
      </c>
      <c r="V275" s="16" t="s">
        <v>450</v>
      </c>
      <c r="W275" s="16" t="s">
        <v>452</v>
      </c>
    </row>
    <row r="276" spans="1:23" x14ac:dyDescent="0.2">
      <c r="A276" s="9" t="s">
        <v>972</v>
      </c>
      <c r="B276" s="9">
        <f ca="1">+IF(A276=WORLDCUP!$BI$112,1,0)</f>
        <v>0</v>
      </c>
      <c r="C276" s="9" t="str">
        <f ca="1">+WORLDCUP!BD65</f>
        <v>Saudi Arabia</v>
      </c>
      <c r="D276" s="9" t="str">
        <f ca="1">+WORLDCUP!BD67</f>
        <v>Austria</v>
      </c>
      <c r="E276" s="9" t="str">
        <f ca="1">+WORLDCUP!BD62</f>
        <v>Ivory Coast</v>
      </c>
      <c r="F276" s="9" t="str">
        <f ca="1">+WORLDCUP!BD60</f>
        <v>Haiti</v>
      </c>
      <c r="G276" s="9" t="str">
        <f ca="1">+WORLDCUP!BD58</f>
        <v>South Korea</v>
      </c>
      <c r="H276" s="9" t="str">
        <f ca="1">+WORLDCUP!BD63</f>
        <v>Sweden</v>
      </c>
      <c r="I276" s="9" t="str">
        <f ca="1">+WORLDCUP!BD61</f>
        <v>Australia</v>
      </c>
      <c r="J276" s="9" t="str">
        <f ca="1">+WORLDCUP!BD66</f>
        <v>Iraq</v>
      </c>
      <c r="N276" s="16" t="s">
        <v>972</v>
      </c>
      <c r="O276" s="16">
        <v>275</v>
      </c>
      <c r="P276" s="16" t="s">
        <v>446</v>
      </c>
      <c r="Q276" s="16" t="s">
        <v>451</v>
      </c>
      <c r="R276" s="16" t="s">
        <v>94</v>
      </c>
      <c r="S276" s="16" t="s">
        <v>92</v>
      </c>
      <c r="T276" s="16" t="s">
        <v>90</v>
      </c>
      <c r="U276" s="16" t="s">
        <v>95</v>
      </c>
      <c r="V276" s="16" t="s">
        <v>93</v>
      </c>
      <c r="W276" s="16" t="s">
        <v>450</v>
      </c>
    </row>
    <row r="277" spans="1:23" x14ac:dyDescent="0.2">
      <c r="A277" s="9" t="s">
        <v>971</v>
      </c>
      <c r="B277" s="9">
        <f ca="1">+IF(A277=WORLDCUP!$BI$112,1,0)</f>
        <v>0</v>
      </c>
      <c r="C277" s="9" t="str">
        <f ca="1">+WORLDCUP!BD60</f>
        <v>Haiti</v>
      </c>
      <c r="D277" s="9" t="str">
        <f ca="1">+WORLDCUP!BD64</f>
        <v>Iran</v>
      </c>
      <c r="E277" s="9" t="str">
        <f ca="1">+WORLDCUP!BD62</f>
        <v>Ivory Coast</v>
      </c>
      <c r="F277" s="9" t="str">
        <f ca="1">+WORLDCUP!BD61</f>
        <v>Australia</v>
      </c>
      <c r="G277" s="9" t="str">
        <f ca="1">+WORLDCUP!BD58</f>
        <v>South Korea</v>
      </c>
      <c r="H277" s="9" t="str">
        <f ca="1">+WORLDCUP!BD63</f>
        <v>Sweden</v>
      </c>
      <c r="I277" s="9" t="str">
        <f ca="1">+WORLDCUP!BD69</f>
        <v>Ghana</v>
      </c>
      <c r="J277" s="9" t="str">
        <f ca="1">+WORLDCUP!BD68</f>
        <v>Uzbekistan</v>
      </c>
      <c r="N277" s="16" t="s">
        <v>971</v>
      </c>
      <c r="O277" s="16">
        <v>276</v>
      </c>
      <c r="P277" s="16" t="s">
        <v>92</v>
      </c>
      <c r="Q277" s="16" t="s">
        <v>445</v>
      </c>
      <c r="R277" s="16" t="s">
        <v>94</v>
      </c>
      <c r="S277" s="16" t="s">
        <v>93</v>
      </c>
      <c r="T277" s="16" t="s">
        <v>90</v>
      </c>
      <c r="U277" s="16" t="s">
        <v>95</v>
      </c>
      <c r="V277" s="16" t="s">
        <v>453</v>
      </c>
      <c r="W277" s="16" t="s">
        <v>452</v>
      </c>
    </row>
    <row r="278" spans="1:23" x14ac:dyDescent="0.2">
      <c r="A278" s="9" t="s">
        <v>597</v>
      </c>
      <c r="B278" s="9">
        <f ca="1">+IF(A278=WORLDCUP!$BI$112,1,0)</f>
        <v>0</v>
      </c>
      <c r="C278" s="9" t="str">
        <f ca="1">+WORLDCUP!BD60</f>
        <v>Haiti</v>
      </c>
      <c r="D278" s="9" t="str">
        <f ca="1">+WORLDCUP!BD64</f>
        <v>Iran</v>
      </c>
      <c r="E278" s="9" t="str">
        <f ca="1">+WORLDCUP!BD67</f>
        <v>Austria</v>
      </c>
      <c r="F278" s="9" t="str">
        <f ca="1">+WORLDCUP!BD61</f>
        <v>Australia</v>
      </c>
      <c r="G278" s="9" t="str">
        <f ca="1">+WORLDCUP!BD58</f>
        <v>South Korea</v>
      </c>
      <c r="H278" s="9" t="str">
        <f ca="1">+WORLDCUP!BD63</f>
        <v>Sweden</v>
      </c>
      <c r="I278" s="9" t="str">
        <f ca="1">+WORLDCUP!BD69</f>
        <v>Ghana</v>
      </c>
      <c r="J278" s="9" t="str">
        <f ca="1">+WORLDCUP!BD62</f>
        <v>Ivory Coast</v>
      </c>
      <c r="N278" s="16" t="s">
        <v>597</v>
      </c>
      <c r="O278" s="16">
        <v>277</v>
      </c>
      <c r="P278" s="16" t="s">
        <v>92</v>
      </c>
      <c r="Q278" s="16" t="s">
        <v>445</v>
      </c>
      <c r="R278" s="16" t="s">
        <v>451</v>
      </c>
      <c r="S278" s="16" t="s">
        <v>93</v>
      </c>
      <c r="T278" s="16" t="s">
        <v>90</v>
      </c>
      <c r="U278" s="16" t="s">
        <v>95</v>
      </c>
      <c r="V278" s="16" t="s">
        <v>453</v>
      </c>
      <c r="W278" s="16" t="s">
        <v>94</v>
      </c>
    </row>
    <row r="279" spans="1:23" x14ac:dyDescent="0.2">
      <c r="A279" s="9" t="s">
        <v>596</v>
      </c>
      <c r="B279" s="9">
        <f ca="1">+IF(A279=WORLDCUP!$BI$112,1,0)</f>
        <v>0</v>
      </c>
      <c r="C279" s="9" t="str">
        <f ca="1">+WORLDCUP!BD60</f>
        <v>Haiti</v>
      </c>
      <c r="D279" s="9" t="str">
        <f ca="1">+WORLDCUP!BD64</f>
        <v>Iran</v>
      </c>
      <c r="E279" s="9" t="str">
        <f ca="1">+WORLDCUP!BD67</f>
        <v>Austria</v>
      </c>
      <c r="F279" s="9" t="str">
        <f ca="1">+WORLDCUP!BD61</f>
        <v>Australia</v>
      </c>
      <c r="G279" s="9" t="str">
        <f ca="1">+WORLDCUP!BD58</f>
        <v>South Korea</v>
      </c>
      <c r="H279" s="9" t="str">
        <f ca="1">+WORLDCUP!BD63</f>
        <v>Sweden</v>
      </c>
      <c r="I279" s="9" t="str">
        <f ca="1">+WORLDCUP!BD62</f>
        <v>Ivory Coast</v>
      </c>
      <c r="J279" s="9" t="str">
        <f ca="1">+WORLDCUP!BD68</f>
        <v>Uzbekistan</v>
      </c>
      <c r="N279" s="16" t="s">
        <v>596</v>
      </c>
      <c r="O279" s="16">
        <v>278</v>
      </c>
      <c r="P279" s="16" t="s">
        <v>92</v>
      </c>
      <c r="Q279" s="16" t="s">
        <v>445</v>
      </c>
      <c r="R279" s="16" t="s">
        <v>451</v>
      </c>
      <c r="S279" s="16" t="s">
        <v>93</v>
      </c>
      <c r="T279" s="16" t="s">
        <v>90</v>
      </c>
      <c r="U279" s="16" t="s">
        <v>95</v>
      </c>
      <c r="V279" s="16" t="s">
        <v>94</v>
      </c>
      <c r="W279" s="16" t="s">
        <v>452</v>
      </c>
    </row>
    <row r="280" spans="1:23" x14ac:dyDescent="0.2">
      <c r="A280" s="9" t="s">
        <v>595</v>
      </c>
      <c r="B280" s="9">
        <f ca="1">+IF(A280=WORLDCUP!$BI$112,1,0)</f>
        <v>0</v>
      </c>
      <c r="C280" s="9" t="str">
        <f ca="1">+WORLDCUP!BD60</f>
        <v>Haiti</v>
      </c>
      <c r="D280" s="9" t="str">
        <f ca="1">+WORLDCUP!BD64</f>
        <v>Iran</v>
      </c>
      <c r="E280" s="9" t="str">
        <f ca="1">+WORLDCUP!BD62</f>
        <v>Ivory Coast</v>
      </c>
      <c r="F280" s="9" t="str">
        <f ca="1">+WORLDCUP!BD61</f>
        <v>Australia</v>
      </c>
      <c r="G280" s="9" t="str">
        <f ca="1">+WORLDCUP!BD58</f>
        <v>South Korea</v>
      </c>
      <c r="H280" s="9" t="str">
        <f ca="1">+WORLDCUP!BD63</f>
        <v>Sweden</v>
      </c>
      <c r="I280" s="9" t="str">
        <f ca="1">+WORLDCUP!BD69</f>
        <v>Ghana</v>
      </c>
      <c r="J280" s="9" t="str">
        <f ca="1">+WORLDCUP!BD66</f>
        <v>Iraq</v>
      </c>
      <c r="N280" s="16" t="s">
        <v>595</v>
      </c>
      <c r="O280" s="16">
        <v>279</v>
      </c>
      <c r="P280" s="16" t="s">
        <v>92</v>
      </c>
      <c r="Q280" s="16" t="s">
        <v>445</v>
      </c>
      <c r="R280" s="16" t="s">
        <v>94</v>
      </c>
      <c r="S280" s="16" t="s">
        <v>93</v>
      </c>
      <c r="T280" s="16" t="s">
        <v>90</v>
      </c>
      <c r="U280" s="16" t="s">
        <v>95</v>
      </c>
      <c r="V280" s="16" t="s">
        <v>453</v>
      </c>
      <c r="W280" s="16" t="s">
        <v>450</v>
      </c>
    </row>
    <row r="281" spans="1:23" x14ac:dyDescent="0.2">
      <c r="A281" s="9" t="s">
        <v>594</v>
      </c>
      <c r="B281" s="9">
        <f ca="1">+IF(A281=WORLDCUP!$BI$112,1,0)</f>
        <v>0</v>
      </c>
      <c r="C281" s="9" t="str">
        <f ca="1">+WORLDCUP!BD60</f>
        <v>Haiti</v>
      </c>
      <c r="D281" s="9" t="str">
        <f ca="1">+WORLDCUP!BD64</f>
        <v>Iran</v>
      </c>
      <c r="E281" s="9" t="str">
        <f ca="1">+WORLDCUP!BD62</f>
        <v>Ivory Coast</v>
      </c>
      <c r="F281" s="9" t="str">
        <f ca="1">+WORLDCUP!BD61</f>
        <v>Australia</v>
      </c>
      <c r="G281" s="9" t="str">
        <f ca="1">+WORLDCUP!BD58</f>
        <v>South Korea</v>
      </c>
      <c r="H281" s="9" t="str">
        <f ca="1">+WORLDCUP!BD63</f>
        <v>Sweden</v>
      </c>
      <c r="I281" s="9" t="str">
        <f ca="1">+WORLDCUP!BD66</f>
        <v>Iraq</v>
      </c>
      <c r="J281" s="9" t="str">
        <f ca="1">+WORLDCUP!BD68</f>
        <v>Uzbekistan</v>
      </c>
      <c r="N281" s="16" t="s">
        <v>594</v>
      </c>
      <c r="O281" s="16">
        <v>280</v>
      </c>
      <c r="P281" s="16" t="s">
        <v>92</v>
      </c>
      <c r="Q281" s="16" t="s">
        <v>445</v>
      </c>
      <c r="R281" s="16" t="s">
        <v>94</v>
      </c>
      <c r="S281" s="16" t="s">
        <v>93</v>
      </c>
      <c r="T281" s="16" t="s">
        <v>90</v>
      </c>
      <c r="U281" s="16" t="s">
        <v>95</v>
      </c>
      <c r="V281" s="16" t="s">
        <v>450</v>
      </c>
      <c r="W281" s="16" t="s">
        <v>452</v>
      </c>
    </row>
    <row r="282" spans="1:23" x14ac:dyDescent="0.2">
      <c r="A282" s="9" t="s">
        <v>593</v>
      </c>
      <c r="B282" s="9">
        <f ca="1">+IF(A282=WORLDCUP!$BI$112,1,0)</f>
        <v>0</v>
      </c>
      <c r="C282" s="9" t="str">
        <f ca="1">+WORLDCUP!BD60</f>
        <v>Haiti</v>
      </c>
      <c r="D282" s="9" t="str">
        <f ca="1">+WORLDCUP!BD64</f>
        <v>Iran</v>
      </c>
      <c r="E282" s="9" t="str">
        <f ca="1">+WORLDCUP!BD67</f>
        <v>Austria</v>
      </c>
      <c r="F282" s="9" t="str">
        <f ca="1">+WORLDCUP!BD61</f>
        <v>Australia</v>
      </c>
      <c r="G282" s="9" t="str">
        <f ca="1">+WORLDCUP!BD58</f>
        <v>South Korea</v>
      </c>
      <c r="H282" s="9" t="str">
        <f ca="1">+WORLDCUP!BD63</f>
        <v>Sweden</v>
      </c>
      <c r="I282" s="9" t="str">
        <f ca="1">+WORLDCUP!BD62</f>
        <v>Ivory Coast</v>
      </c>
      <c r="J282" s="9" t="str">
        <f ca="1">+WORLDCUP!BD66</f>
        <v>Iraq</v>
      </c>
      <c r="N282" s="16" t="s">
        <v>593</v>
      </c>
      <c r="O282" s="16">
        <v>281</v>
      </c>
      <c r="P282" s="16" t="s">
        <v>92</v>
      </c>
      <c r="Q282" s="16" t="s">
        <v>445</v>
      </c>
      <c r="R282" s="16" t="s">
        <v>451</v>
      </c>
      <c r="S282" s="16" t="s">
        <v>93</v>
      </c>
      <c r="T282" s="16" t="s">
        <v>90</v>
      </c>
      <c r="U282" s="16" t="s">
        <v>95</v>
      </c>
      <c r="V282" s="16" t="s">
        <v>94</v>
      </c>
      <c r="W282" s="16" t="s">
        <v>450</v>
      </c>
    </row>
    <row r="283" spans="1:23" x14ac:dyDescent="0.2">
      <c r="A283" s="9" t="s">
        <v>592</v>
      </c>
      <c r="B283" s="9">
        <f ca="1">+IF(A283=WORLDCUP!$BI$112,1,0)</f>
        <v>0</v>
      </c>
      <c r="C283" s="9" t="str">
        <f ca="1">+WORLDCUP!BD65</f>
        <v>Saudi Arabia</v>
      </c>
      <c r="D283" s="9" t="str">
        <f ca="1">+WORLDCUP!BD64</f>
        <v>Iran</v>
      </c>
      <c r="E283" s="9" t="str">
        <f ca="1">+WORLDCUP!BD63</f>
        <v>Sweden</v>
      </c>
      <c r="F283" s="9" t="str">
        <f ca="1">+WORLDCUP!BD60</f>
        <v>Haiti</v>
      </c>
      <c r="G283" s="9" t="str">
        <f ca="1">+WORLDCUP!BD58</f>
        <v>South Korea</v>
      </c>
      <c r="H283" s="9" t="str">
        <f ca="1">+WORLDCUP!BD61</f>
        <v>Australia</v>
      </c>
      <c r="I283" s="9" t="str">
        <f ca="1">+WORLDCUP!BD69</f>
        <v>Ghana</v>
      </c>
      <c r="J283" s="9" t="str">
        <f ca="1">+WORLDCUP!BD62</f>
        <v>Ivory Coast</v>
      </c>
      <c r="N283" s="16" t="s">
        <v>592</v>
      </c>
      <c r="O283" s="16">
        <v>282</v>
      </c>
      <c r="P283" s="16" t="s">
        <v>446</v>
      </c>
      <c r="Q283" s="16" t="s">
        <v>445</v>
      </c>
      <c r="R283" s="16" t="s">
        <v>95</v>
      </c>
      <c r="S283" s="16" t="s">
        <v>92</v>
      </c>
      <c r="T283" s="16" t="s">
        <v>90</v>
      </c>
      <c r="U283" s="16" t="s">
        <v>93</v>
      </c>
      <c r="V283" s="16" t="s">
        <v>453</v>
      </c>
      <c r="W283" s="16" t="s">
        <v>94</v>
      </c>
    </row>
    <row r="284" spans="1:23" x14ac:dyDescent="0.2">
      <c r="A284" s="9" t="s">
        <v>591</v>
      </c>
      <c r="B284" s="9">
        <f ca="1">+IF(A284=WORLDCUP!$BI$112,1,0)</f>
        <v>0</v>
      </c>
      <c r="C284" s="9" t="str">
        <f ca="1">+WORLDCUP!BD65</f>
        <v>Saudi Arabia</v>
      </c>
      <c r="D284" s="9" t="str">
        <f ca="1">+WORLDCUP!BD64</f>
        <v>Iran</v>
      </c>
      <c r="E284" s="9" t="str">
        <f ca="1">+WORLDCUP!BD62</f>
        <v>Ivory Coast</v>
      </c>
      <c r="F284" s="9" t="str">
        <f ca="1">+WORLDCUP!BD60</f>
        <v>Haiti</v>
      </c>
      <c r="G284" s="9" t="str">
        <f ca="1">+WORLDCUP!BD58</f>
        <v>South Korea</v>
      </c>
      <c r="H284" s="9" t="str">
        <f ca="1">+WORLDCUP!BD63</f>
        <v>Sweden</v>
      </c>
      <c r="I284" s="9" t="str">
        <f ca="1">+WORLDCUP!BD61</f>
        <v>Australia</v>
      </c>
      <c r="J284" s="9" t="str">
        <f ca="1">+WORLDCUP!BD68</f>
        <v>Uzbekistan</v>
      </c>
      <c r="N284" s="16" t="s">
        <v>591</v>
      </c>
      <c r="O284" s="16">
        <v>283</v>
      </c>
      <c r="P284" s="16" t="s">
        <v>446</v>
      </c>
      <c r="Q284" s="16" t="s">
        <v>445</v>
      </c>
      <c r="R284" s="16" t="s">
        <v>94</v>
      </c>
      <c r="S284" s="16" t="s">
        <v>92</v>
      </c>
      <c r="T284" s="16" t="s">
        <v>90</v>
      </c>
      <c r="U284" s="16" t="s">
        <v>95</v>
      </c>
      <c r="V284" s="16" t="s">
        <v>93</v>
      </c>
      <c r="W284" s="16" t="s">
        <v>452</v>
      </c>
    </row>
    <row r="285" spans="1:23" x14ac:dyDescent="0.2">
      <c r="A285" s="9" t="s">
        <v>590</v>
      </c>
      <c r="B285" s="9">
        <f ca="1">+IF(A285=WORLDCUP!$BI$112,1,0)</f>
        <v>0</v>
      </c>
      <c r="C285" s="9" t="str">
        <f ca="1">+WORLDCUP!BD65</f>
        <v>Saudi Arabia</v>
      </c>
      <c r="D285" s="9" t="str">
        <f ca="1">+WORLDCUP!BD64</f>
        <v>Iran</v>
      </c>
      <c r="E285" s="9" t="str">
        <f ca="1">+WORLDCUP!BD67</f>
        <v>Austria</v>
      </c>
      <c r="F285" s="9" t="str">
        <f ca="1">+WORLDCUP!BD60</f>
        <v>Haiti</v>
      </c>
      <c r="G285" s="9" t="str">
        <f ca="1">+WORLDCUP!BD58</f>
        <v>South Korea</v>
      </c>
      <c r="H285" s="9" t="str">
        <f ca="1">+WORLDCUP!BD63</f>
        <v>Sweden</v>
      </c>
      <c r="I285" s="9" t="str">
        <f ca="1">+WORLDCUP!BD61</f>
        <v>Australia</v>
      </c>
      <c r="J285" s="9" t="str">
        <f ca="1">+WORLDCUP!BD62</f>
        <v>Ivory Coast</v>
      </c>
      <c r="N285" s="16" t="s">
        <v>590</v>
      </c>
      <c r="O285" s="16">
        <v>284</v>
      </c>
      <c r="P285" s="16" t="s">
        <v>446</v>
      </c>
      <c r="Q285" s="16" t="s">
        <v>445</v>
      </c>
      <c r="R285" s="16" t="s">
        <v>451</v>
      </c>
      <c r="S285" s="16" t="s">
        <v>92</v>
      </c>
      <c r="T285" s="16" t="s">
        <v>90</v>
      </c>
      <c r="U285" s="16" t="s">
        <v>95</v>
      </c>
      <c r="V285" s="16" t="s">
        <v>93</v>
      </c>
      <c r="W285" s="16" t="s">
        <v>94</v>
      </c>
    </row>
    <row r="286" spans="1:23" x14ac:dyDescent="0.2">
      <c r="A286" s="9" t="s">
        <v>589</v>
      </c>
      <c r="B286" s="9">
        <f ca="1">+IF(A286=WORLDCUP!$BI$112,1,0)</f>
        <v>0</v>
      </c>
      <c r="C286" s="9" t="str">
        <f ca="1">+WORLDCUP!BD65</f>
        <v>Saudi Arabia</v>
      </c>
      <c r="D286" s="9" t="str">
        <f ca="1">+WORLDCUP!BD64</f>
        <v>Iran</v>
      </c>
      <c r="E286" s="9" t="str">
        <f ca="1">+WORLDCUP!BD62</f>
        <v>Ivory Coast</v>
      </c>
      <c r="F286" s="9" t="str">
        <f ca="1">+WORLDCUP!BD60</f>
        <v>Haiti</v>
      </c>
      <c r="G286" s="9" t="str">
        <f ca="1">+WORLDCUP!BD58</f>
        <v>South Korea</v>
      </c>
      <c r="H286" s="9" t="str">
        <f ca="1">+WORLDCUP!BD63</f>
        <v>Sweden</v>
      </c>
      <c r="I286" s="9" t="str">
        <f ca="1">+WORLDCUP!BD61</f>
        <v>Australia</v>
      </c>
      <c r="J286" s="9" t="str">
        <f ca="1">+WORLDCUP!BD66</f>
        <v>Iraq</v>
      </c>
      <c r="N286" s="16" t="s">
        <v>589</v>
      </c>
      <c r="O286" s="16">
        <v>285</v>
      </c>
      <c r="P286" s="16" t="s">
        <v>446</v>
      </c>
      <c r="Q286" s="16" t="s">
        <v>445</v>
      </c>
      <c r="R286" s="16" t="s">
        <v>94</v>
      </c>
      <c r="S286" s="16" t="s">
        <v>92</v>
      </c>
      <c r="T286" s="16" t="s">
        <v>90</v>
      </c>
      <c r="U286" s="16" t="s">
        <v>95</v>
      </c>
      <c r="V286" s="16" t="s">
        <v>93</v>
      </c>
      <c r="W286" s="16" t="s">
        <v>450</v>
      </c>
    </row>
    <row r="287" spans="1:23" x14ac:dyDescent="0.2">
      <c r="A287" s="9" t="s">
        <v>970</v>
      </c>
      <c r="B287" s="9">
        <f ca="1">+IF(A287=WORLDCUP!$BI$112,1,0)</f>
        <v>0</v>
      </c>
      <c r="C287" s="9" t="str">
        <f ca="1">+WORLDCUP!BD65</f>
        <v>Saudi Arabia</v>
      </c>
      <c r="D287" s="9" t="str">
        <f ca="1">+WORLDCUP!BD67</f>
        <v>Austria</v>
      </c>
      <c r="E287" s="9" t="str">
        <f ca="1">+WORLDCUP!BD59</f>
        <v>Qatar</v>
      </c>
      <c r="F287" s="9" t="str">
        <f ca="1">+WORLDCUP!BD58</f>
        <v>South Korea</v>
      </c>
      <c r="G287" s="9" t="str">
        <f ca="1">+WORLDCUP!BD66</f>
        <v>Iraq</v>
      </c>
      <c r="H287" s="9" t="str">
        <f ca="1">+WORLDCUP!BD64</f>
        <v>Iran</v>
      </c>
      <c r="I287" s="9" t="str">
        <f ca="1">+WORLDCUP!BD69</f>
        <v>Ghana</v>
      </c>
      <c r="J287" s="9" t="str">
        <f ca="1">+WORLDCUP!BD68</f>
        <v>Uzbekistan</v>
      </c>
      <c r="N287" s="16" t="s">
        <v>970</v>
      </c>
      <c r="O287" s="16">
        <v>286</v>
      </c>
      <c r="P287" s="16" t="s">
        <v>446</v>
      </c>
      <c r="Q287" s="16" t="s">
        <v>451</v>
      </c>
      <c r="R287" s="16" t="s">
        <v>91</v>
      </c>
      <c r="S287" s="16" t="s">
        <v>90</v>
      </c>
      <c r="T287" s="16" t="s">
        <v>450</v>
      </c>
      <c r="U287" s="16" t="s">
        <v>445</v>
      </c>
      <c r="V287" s="16" t="s">
        <v>453</v>
      </c>
      <c r="W287" s="16" t="s">
        <v>452</v>
      </c>
    </row>
    <row r="288" spans="1:23" x14ac:dyDescent="0.2">
      <c r="A288" s="9" t="s">
        <v>969</v>
      </c>
      <c r="B288" s="9">
        <f ca="1">+IF(A288=WORLDCUP!$BI$112,1,0)</f>
        <v>0</v>
      </c>
      <c r="C288" s="9" t="str">
        <f ca="1">+WORLDCUP!BD65</f>
        <v>Saudi Arabia</v>
      </c>
      <c r="D288" s="9" t="str">
        <f ca="1">+WORLDCUP!BD67</f>
        <v>Austria</v>
      </c>
      <c r="E288" s="9" t="str">
        <f ca="1">+WORLDCUP!BD59</f>
        <v>Qatar</v>
      </c>
      <c r="F288" s="9" t="str">
        <f ca="1">+WORLDCUP!BD58</f>
        <v>South Korea</v>
      </c>
      <c r="G288" s="9" t="str">
        <f ca="1">+WORLDCUP!BD66</f>
        <v>Iraq</v>
      </c>
      <c r="H288" s="9" t="str">
        <f ca="1">+WORLDCUP!BD63</f>
        <v>Sweden</v>
      </c>
      <c r="I288" s="9" t="str">
        <f ca="1">+WORLDCUP!BD69</f>
        <v>Ghana</v>
      </c>
      <c r="J288" s="9" t="str">
        <f ca="1">+WORLDCUP!BD68</f>
        <v>Uzbekistan</v>
      </c>
      <c r="N288" s="16" t="s">
        <v>969</v>
      </c>
      <c r="O288" s="16">
        <v>287</v>
      </c>
      <c r="P288" s="16" t="s">
        <v>446</v>
      </c>
      <c r="Q288" s="16" t="s">
        <v>451</v>
      </c>
      <c r="R288" s="16" t="s">
        <v>91</v>
      </c>
      <c r="S288" s="16" t="s">
        <v>90</v>
      </c>
      <c r="T288" s="16" t="s">
        <v>450</v>
      </c>
      <c r="U288" s="16" t="s">
        <v>95</v>
      </c>
      <c r="V288" s="16" t="s">
        <v>453</v>
      </c>
      <c r="W288" s="16" t="s">
        <v>452</v>
      </c>
    </row>
    <row r="289" spans="1:23" x14ac:dyDescent="0.2">
      <c r="A289" s="9" t="s">
        <v>968</v>
      </c>
      <c r="B289" s="9">
        <f ca="1">+IF(A289=WORLDCUP!$BI$112,1,0)</f>
        <v>0</v>
      </c>
      <c r="C289" s="9" t="str">
        <f ca="1">+WORLDCUP!BD66</f>
        <v>Iraq</v>
      </c>
      <c r="D289" s="9" t="str">
        <f ca="1">+WORLDCUP!BD67</f>
        <v>Austria</v>
      </c>
      <c r="E289" s="9" t="str">
        <f ca="1">+WORLDCUP!BD59</f>
        <v>Qatar</v>
      </c>
      <c r="F289" s="9" t="str">
        <f ca="1">+WORLDCUP!BD63</f>
        <v>Sweden</v>
      </c>
      <c r="G289" s="9" t="str">
        <f ca="1">+WORLDCUP!BD58</f>
        <v>South Korea</v>
      </c>
      <c r="H289" s="9" t="str">
        <f ca="1">+WORLDCUP!BD64</f>
        <v>Iran</v>
      </c>
      <c r="I289" s="9" t="str">
        <f ca="1">+WORLDCUP!BD69</f>
        <v>Ghana</v>
      </c>
      <c r="J289" s="9" t="str">
        <f ca="1">+WORLDCUP!BD68</f>
        <v>Uzbekistan</v>
      </c>
      <c r="N289" s="16" t="s">
        <v>968</v>
      </c>
      <c r="O289" s="16">
        <v>288</v>
      </c>
      <c r="P289" s="16" t="s">
        <v>450</v>
      </c>
      <c r="Q289" s="16" t="s">
        <v>451</v>
      </c>
      <c r="R289" s="16" t="s">
        <v>91</v>
      </c>
      <c r="S289" s="16" t="s">
        <v>95</v>
      </c>
      <c r="T289" s="16" t="s">
        <v>90</v>
      </c>
      <c r="U289" s="16" t="s">
        <v>445</v>
      </c>
      <c r="V289" s="16" t="s">
        <v>453</v>
      </c>
      <c r="W289" s="16" t="s">
        <v>452</v>
      </c>
    </row>
    <row r="290" spans="1:23" x14ac:dyDescent="0.2">
      <c r="A290" s="9" t="s">
        <v>967</v>
      </c>
      <c r="B290" s="9">
        <f ca="1">+IF(A290=WORLDCUP!$BI$112,1,0)</f>
        <v>0</v>
      </c>
      <c r="C290" s="9" t="str">
        <f ca="1">+WORLDCUP!BD65</f>
        <v>Saudi Arabia</v>
      </c>
      <c r="D290" s="9" t="str">
        <f ca="1">+WORLDCUP!BD67</f>
        <v>Austria</v>
      </c>
      <c r="E290" s="9" t="str">
        <f ca="1">+WORLDCUP!BD59</f>
        <v>Qatar</v>
      </c>
      <c r="F290" s="9" t="str">
        <f ca="1">+WORLDCUP!BD63</f>
        <v>Sweden</v>
      </c>
      <c r="G290" s="9" t="str">
        <f ca="1">+WORLDCUP!BD58</f>
        <v>South Korea</v>
      </c>
      <c r="H290" s="9" t="str">
        <f ca="1">+WORLDCUP!BD64</f>
        <v>Iran</v>
      </c>
      <c r="I290" s="9" t="str">
        <f ca="1">+WORLDCUP!BD69</f>
        <v>Ghana</v>
      </c>
      <c r="J290" s="9" t="str">
        <f ca="1">+WORLDCUP!BD68</f>
        <v>Uzbekistan</v>
      </c>
      <c r="N290" s="16" t="s">
        <v>967</v>
      </c>
      <c r="O290" s="16">
        <v>289</v>
      </c>
      <c r="P290" s="16" t="s">
        <v>446</v>
      </c>
      <c r="Q290" s="16" t="s">
        <v>451</v>
      </c>
      <c r="R290" s="16" t="s">
        <v>91</v>
      </c>
      <c r="S290" s="16" t="s">
        <v>95</v>
      </c>
      <c r="T290" s="16" t="s">
        <v>90</v>
      </c>
      <c r="U290" s="16" t="s">
        <v>445</v>
      </c>
      <c r="V290" s="16" t="s">
        <v>453</v>
      </c>
      <c r="W290" s="16" t="s">
        <v>452</v>
      </c>
    </row>
    <row r="291" spans="1:23" x14ac:dyDescent="0.2">
      <c r="A291" s="9" t="s">
        <v>966</v>
      </c>
      <c r="B291" s="9">
        <f ca="1">+IF(A291=WORLDCUP!$BI$112,1,0)</f>
        <v>0</v>
      </c>
      <c r="C291" s="9" t="str">
        <f ca="1">+WORLDCUP!BD65</f>
        <v>Saudi Arabia</v>
      </c>
      <c r="D291" s="9" t="str">
        <f ca="1">+WORLDCUP!BD64</f>
        <v>Iran</v>
      </c>
      <c r="E291" s="9" t="str">
        <f ca="1">+WORLDCUP!BD59</f>
        <v>Qatar</v>
      </c>
      <c r="F291" s="9" t="str">
        <f ca="1">+WORLDCUP!BD58</f>
        <v>South Korea</v>
      </c>
      <c r="G291" s="9" t="str">
        <f ca="1">+WORLDCUP!BD66</f>
        <v>Iraq</v>
      </c>
      <c r="H291" s="9" t="str">
        <f ca="1">+WORLDCUP!BD63</f>
        <v>Sweden</v>
      </c>
      <c r="I291" s="9" t="str">
        <f ca="1">+WORLDCUP!BD69</f>
        <v>Ghana</v>
      </c>
      <c r="J291" s="9" t="str">
        <f ca="1">+WORLDCUP!BD68</f>
        <v>Uzbekistan</v>
      </c>
      <c r="N291" s="16" t="s">
        <v>966</v>
      </c>
      <c r="O291" s="16">
        <v>290</v>
      </c>
      <c r="P291" s="16" t="s">
        <v>446</v>
      </c>
      <c r="Q291" s="16" t="s">
        <v>445</v>
      </c>
      <c r="R291" s="16" t="s">
        <v>91</v>
      </c>
      <c r="S291" s="16" t="s">
        <v>90</v>
      </c>
      <c r="T291" s="16" t="s">
        <v>450</v>
      </c>
      <c r="U291" s="16" t="s">
        <v>95</v>
      </c>
      <c r="V291" s="16" t="s">
        <v>453</v>
      </c>
      <c r="W291" s="16" t="s">
        <v>452</v>
      </c>
    </row>
    <row r="292" spans="1:23" x14ac:dyDescent="0.2">
      <c r="A292" s="9" t="s">
        <v>965</v>
      </c>
      <c r="B292" s="9">
        <f ca="1">+IF(A292=WORLDCUP!$BI$112,1,0)</f>
        <v>0</v>
      </c>
      <c r="C292" s="9" t="str">
        <f ca="1">+WORLDCUP!BD65</f>
        <v>Saudi Arabia</v>
      </c>
      <c r="D292" s="9" t="str">
        <f ca="1">+WORLDCUP!BD67</f>
        <v>Austria</v>
      </c>
      <c r="E292" s="9" t="str">
        <f ca="1">+WORLDCUP!BD59</f>
        <v>Qatar</v>
      </c>
      <c r="F292" s="9" t="str">
        <f ca="1">+WORLDCUP!BD63</f>
        <v>Sweden</v>
      </c>
      <c r="G292" s="9" t="str">
        <f ca="1">+WORLDCUP!BD58</f>
        <v>South Korea</v>
      </c>
      <c r="H292" s="9" t="str">
        <f ca="1">+WORLDCUP!BD64</f>
        <v>Iran</v>
      </c>
      <c r="I292" s="9" t="str">
        <f ca="1">+WORLDCUP!BD69</f>
        <v>Ghana</v>
      </c>
      <c r="J292" s="9" t="str">
        <f ca="1">+WORLDCUP!BD66</f>
        <v>Iraq</v>
      </c>
      <c r="N292" s="16" t="s">
        <v>965</v>
      </c>
      <c r="O292" s="16">
        <v>291</v>
      </c>
      <c r="P292" s="16" t="s">
        <v>446</v>
      </c>
      <c r="Q292" s="16" t="s">
        <v>451</v>
      </c>
      <c r="R292" s="16" t="s">
        <v>91</v>
      </c>
      <c r="S292" s="16" t="s">
        <v>95</v>
      </c>
      <c r="T292" s="16" t="s">
        <v>90</v>
      </c>
      <c r="U292" s="16" t="s">
        <v>445</v>
      </c>
      <c r="V292" s="16" t="s">
        <v>453</v>
      </c>
      <c r="W292" s="16" t="s">
        <v>450</v>
      </c>
    </row>
    <row r="293" spans="1:23" x14ac:dyDescent="0.2">
      <c r="A293" s="9" t="s">
        <v>964</v>
      </c>
      <c r="B293" s="9">
        <f ca="1">+IF(A293=WORLDCUP!$BI$112,1,0)</f>
        <v>0</v>
      </c>
      <c r="C293" s="9" t="str">
        <f ca="1">+WORLDCUP!BD65</f>
        <v>Saudi Arabia</v>
      </c>
      <c r="D293" s="9" t="str">
        <f ca="1">+WORLDCUP!BD67</f>
        <v>Austria</v>
      </c>
      <c r="E293" s="9" t="str">
        <f ca="1">+WORLDCUP!BD59</f>
        <v>Qatar</v>
      </c>
      <c r="F293" s="9" t="str">
        <f ca="1">+WORLDCUP!BD63</f>
        <v>Sweden</v>
      </c>
      <c r="G293" s="9" t="str">
        <f ca="1">+WORLDCUP!BD58</f>
        <v>South Korea</v>
      </c>
      <c r="H293" s="9" t="str">
        <f ca="1">+WORLDCUP!BD64</f>
        <v>Iran</v>
      </c>
      <c r="I293" s="9" t="str">
        <f ca="1">+WORLDCUP!BD66</f>
        <v>Iraq</v>
      </c>
      <c r="J293" s="9" t="str">
        <f ca="1">+WORLDCUP!BD68</f>
        <v>Uzbekistan</v>
      </c>
      <c r="N293" s="16" t="s">
        <v>964</v>
      </c>
      <c r="O293" s="16">
        <v>292</v>
      </c>
      <c r="P293" s="16" t="s">
        <v>446</v>
      </c>
      <c r="Q293" s="16" t="s">
        <v>451</v>
      </c>
      <c r="R293" s="16" t="s">
        <v>91</v>
      </c>
      <c r="S293" s="16" t="s">
        <v>95</v>
      </c>
      <c r="T293" s="16" t="s">
        <v>90</v>
      </c>
      <c r="U293" s="16" t="s">
        <v>445</v>
      </c>
      <c r="V293" s="16" t="s">
        <v>450</v>
      </c>
      <c r="W293" s="16" t="s">
        <v>452</v>
      </c>
    </row>
    <row r="294" spans="1:23" x14ac:dyDescent="0.2">
      <c r="A294" s="9" t="s">
        <v>963</v>
      </c>
      <c r="B294" s="9">
        <f ca="1">+IF(A294=WORLDCUP!$BI$112,1,0)</f>
        <v>0</v>
      </c>
      <c r="C294" s="9" t="str">
        <f ca="1">+WORLDCUP!BD62</f>
        <v>Ivory Coast</v>
      </c>
      <c r="D294" s="9" t="str">
        <f ca="1">+WORLDCUP!BD67</f>
        <v>Austria</v>
      </c>
      <c r="E294" s="9" t="str">
        <f ca="1">+WORLDCUP!BD59</f>
        <v>Qatar</v>
      </c>
      <c r="F294" s="9" t="str">
        <f ca="1">+WORLDCUP!BD58</f>
        <v>South Korea</v>
      </c>
      <c r="G294" s="9" t="str">
        <f ca="1">+WORLDCUP!BD66</f>
        <v>Iraq</v>
      </c>
      <c r="H294" s="9" t="str">
        <f ca="1">+WORLDCUP!BD65</f>
        <v>Saudi Arabia</v>
      </c>
      <c r="I294" s="9" t="str">
        <f ca="1">+WORLDCUP!BD69</f>
        <v>Ghana</v>
      </c>
      <c r="J294" s="9" t="str">
        <f ca="1">+WORLDCUP!BD68</f>
        <v>Uzbekistan</v>
      </c>
      <c r="N294" s="16" t="s">
        <v>963</v>
      </c>
      <c r="O294" s="16">
        <v>293</v>
      </c>
      <c r="P294" s="16" t="s">
        <v>94</v>
      </c>
      <c r="Q294" s="16" t="s">
        <v>451</v>
      </c>
      <c r="R294" s="16" t="s">
        <v>91</v>
      </c>
      <c r="S294" s="16" t="s">
        <v>90</v>
      </c>
      <c r="T294" s="16" t="s">
        <v>450</v>
      </c>
      <c r="U294" s="16" t="s">
        <v>446</v>
      </c>
      <c r="V294" s="16" t="s">
        <v>453</v>
      </c>
      <c r="W294" s="16" t="s">
        <v>452</v>
      </c>
    </row>
    <row r="295" spans="1:23" x14ac:dyDescent="0.2">
      <c r="A295" s="9" t="s">
        <v>962</v>
      </c>
      <c r="B295" s="9">
        <f ca="1">+IF(A295=WORLDCUP!$BI$112,1,0)</f>
        <v>0</v>
      </c>
      <c r="C295" s="9" t="str">
        <f ca="1">+WORLDCUP!BD62</f>
        <v>Ivory Coast</v>
      </c>
      <c r="D295" s="9" t="str">
        <f ca="1">+WORLDCUP!BD67</f>
        <v>Austria</v>
      </c>
      <c r="E295" s="9" t="str">
        <f ca="1">+WORLDCUP!BD59</f>
        <v>Qatar</v>
      </c>
      <c r="F295" s="9" t="str">
        <f ca="1">+WORLDCUP!BD58</f>
        <v>South Korea</v>
      </c>
      <c r="G295" s="9" t="str">
        <f ca="1">+WORLDCUP!BD66</f>
        <v>Iraq</v>
      </c>
      <c r="H295" s="9" t="str">
        <f ca="1">+WORLDCUP!BD64</f>
        <v>Iran</v>
      </c>
      <c r="I295" s="9" t="str">
        <f ca="1">+WORLDCUP!BD69</f>
        <v>Ghana</v>
      </c>
      <c r="J295" s="9" t="str">
        <f ca="1">+WORLDCUP!BD68</f>
        <v>Uzbekistan</v>
      </c>
      <c r="N295" s="16" t="s">
        <v>962</v>
      </c>
      <c r="O295" s="16">
        <v>294</v>
      </c>
      <c r="P295" s="16" t="s">
        <v>94</v>
      </c>
      <c r="Q295" s="16" t="s">
        <v>451</v>
      </c>
      <c r="R295" s="16" t="s">
        <v>91</v>
      </c>
      <c r="S295" s="16" t="s">
        <v>90</v>
      </c>
      <c r="T295" s="16" t="s">
        <v>450</v>
      </c>
      <c r="U295" s="16" t="s">
        <v>445</v>
      </c>
      <c r="V295" s="16" t="s">
        <v>453</v>
      </c>
      <c r="W295" s="16" t="s">
        <v>452</v>
      </c>
    </row>
    <row r="296" spans="1:23" x14ac:dyDescent="0.2">
      <c r="A296" s="9" t="s">
        <v>961</v>
      </c>
      <c r="B296" s="9">
        <f ca="1">+IF(A296=WORLDCUP!$BI$112,1,0)</f>
        <v>0</v>
      </c>
      <c r="C296" s="9" t="str">
        <f ca="1">+WORLDCUP!BD62</f>
        <v>Ivory Coast</v>
      </c>
      <c r="D296" s="9" t="str">
        <f ca="1">+WORLDCUP!BD67</f>
        <v>Austria</v>
      </c>
      <c r="E296" s="9" t="str">
        <f ca="1">+WORLDCUP!BD59</f>
        <v>Qatar</v>
      </c>
      <c r="F296" s="9" t="str">
        <f ca="1">+WORLDCUP!BD58</f>
        <v>South Korea</v>
      </c>
      <c r="G296" s="9" t="str">
        <f ca="1">+WORLDCUP!BD65</f>
        <v>Saudi Arabia</v>
      </c>
      <c r="H296" s="9" t="str">
        <f ca="1">+WORLDCUP!BD64</f>
        <v>Iran</v>
      </c>
      <c r="I296" s="9" t="str">
        <f ca="1">+WORLDCUP!BD69</f>
        <v>Ghana</v>
      </c>
      <c r="J296" s="9" t="str">
        <f ca="1">+WORLDCUP!BD68</f>
        <v>Uzbekistan</v>
      </c>
      <c r="N296" s="16" t="s">
        <v>961</v>
      </c>
      <c r="O296" s="16">
        <v>295</v>
      </c>
      <c r="P296" s="16" t="s">
        <v>94</v>
      </c>
      <c r="Q296" s="16" t="s">
        <v>451</v>
      </c>
      <c r="R296" s="16" t="s">
        <v>91</v>
      </c>
      <c r="S296" s="16" t="s">
        <v>90</v>
      </c>
      <c r="T296" s="16" t="s">
        <v>446</v>
      </c>
      <c r="U296" s="16" t="s">
        <v>445</v>
      </c>
      <c r="V296" s="16" t="s">
        <v>453</v>
      </c>
      <c r="W296" s="16" t="s">
        <v>452</v>
      </c>
    </row>
    <row r="297" spans="1:23" x14ac:dyDescent="0.2">
      <c r="A297" s="9" t="s">
        <v>960</v>
      </c>
      <c r="B297" s="9">
        <f ca="1">+IF(A297=WORLDCUP!$BI$112,1,0)</f>
        <v>0</v>
      </c>
      <c r="C297" s="9" t="str">
        <f ca="1">+WORLDCUP!BD62</f>
        <v>Ivory Coast</v>
      </c>
      <c r="D297" s="9" t="str">
        <f ca="1">+WORLDCUP!BD64</f>
        <v>Iran</v>
      </c>
      <c r="E297" s="9" t="str">
        <f ca="1">+WORLDCUP!BD59</f>
        <v>Qatar</v>
      </c>
      <c r="F297" s="9" t="str">
        <f ca="1">+WORLDCUP!BD58</f>
        <v>South Korea</v>
      </c>
      <c r="G297" s="9" t="str">
        <f ca="1">+WORLDCUP!BD66</f>
        <v>Iraq</v>
      </c>
      <c r="H297" s="9" t="str">
        <f ca="1">+WORLDCUP!BD65</f>
        <v>Saudi Arabia</v>
      </c>
      <c r="I297" s="9" t="str">
        <f ca="1">+WORLDCUP!BD69</f>
        <v>Ghana</v>
      </c>
      <c r="J297" s="9" t="str">
        <f ca="1">+WORLDCUP!BD68</f>
        <v>Uzbekistan</v>
      </c>
      <c r="N297" s="16" t="s">
        <v>960</v>
      </c>
      <c r="O297" s="16">
        <v>296</v>
      </c>
      <c r="P297" s="16" t="s">
        <v>94</v>
      </c>
      <c r="Q297" s="16" t="s">
        <v>445</v>
      </c>
      <c r="R297" s="16" t="s">
        <v>91</v>
      </c>
      <c r="S297" s="16" t="s">
        <v>90</v>
      </c>
      <c r="T297" s="16" t="s">
        <v>450</v>
      </c>
      <c r="U297" s="16" t="s">
        <v>446</v>
      </c>
      <c r="V297" s="16" t="s">
        <v>453</v>
      </c>
      <c r="W297" s="16" t="s">
        <v>452</v>
      </c>
    </row>
    <row r="298" spans="1:23" x14ac:dyDescent="0.2">
      <c r="A298" s="9" t="s">
        <v>959</v>
      </c>
      <c r="B298" s="9">
        <f ca="1">+IF(A298=WORLDCUP!$BI$112,1,0)</f>
        <v>0</v>
      </c>
      <c r="C298" s="9" t="str">
        <f ca="1">+WORLDCUP!BD62</f>
        <v>Ivory Coast</v>
      </c>
      <c r="D298" s="9" t="str">
        <f ca="1">+WORLDCUP!BD67</f>
        <v>Austria</v>
      </c>
      <c r="E298" s="9" t="str">
        <f ca="1">+WORLDCUP!BD59</f>
        <v>Qatar</v>
      </c>
      <c r="F298" s="9" t="str">
        <f ca="1">+WORLDCUP!BD58</f>
        <v>South Korea</v>
      </c>
      <c r="G298" s="9" t="str">
        <f ca="1">+WORLDCUP!BD65</f>
        <v>Saudi Arabia</v>
      </c>
      <c r="H298" s="9" t="str">
        <f ca="1">+WORLDCUP!BD64</f>
        <v>Iran</v>
      </c>
      <c r="I298" s="9" t="str">
        <f ca="1">+WORLDCUP!BD69</f>
        <v>Ghana</v>
      </c>
      <c r="J298" s="9" t="str">
        <f ca="1">+WORLDCUP!BD66</f>
        <v>Iraq</v>
      </c>
      <c r="N298" s="16" t="s">
        <v>959</v>
      </c>
      <c r="O298" s="16">
        <v>297</v>
      </c>
      <c r="P298" s="16" t="s">
        <v>94</v>
      </c>
      <c r="Q298" s="16" t="s">
        <v>451</v>
      </c>
      <c r="R298" s="16" t="s">
        <v>91</v>
      </c>
      <c r="S298" s="16" t="s">
        <v>90</v>
      </c>
      <c r="T298" s="16" t="s">
        <v>446</v>
      </c>
      <c r="U298" s="16" t="s">
        <v>445</v>
      </c>
      <c r="V298" s="16" t="s">
        <v>453</v>
      </c>
      <c r="W298" s="16" t="s">
        <v>450</v>
      </c>
    </row>
    <row r="299" spans="1:23" x14ac:dyDescent="0.2">
      <c r="A299" s="9" t="s">
        <v>958</v>
      </c>
      <c r="B299" s="9">
        <f ca="1">+IF(A299=WORLDCUP!$BI$112,1,0)</f>
        <v>0</v>
      </c>
      <c r="C299" s="9" t="str">
        <f ca="1">+WORLDCUP!BD62</f>
        <v>Ivory Coast</v>
      </c>
      <c r="D299" s="9" t="str">
        <f ca="1">+WORLDCUP!BD67</f>
        <v>Austria</v>
      </c>
      <c r="E299" s="9" t="str">
        <f ca="1">+WORLDCUP!BD59</f>
        <v>Qatar</v>
      </c>
      <c r="F299" s="9" t="str">
        <f ca="1">+WORLDCUP!BD58</f>
        <v>South Korea</v>
      </c>
      <c r="G299" s="9" t="str">
        <f ca="1">+WORLDCUP!BD65</f>
        <v>Saudi Arabia</v>
      </c>
      <c r="H299" s="9" t="str">
        <f ca="1">+WORLDCUP!BD64</f>
        <v>Iran</v>
      </c>
      <c r="I299" s="9" t="str">
        <f ca="1">+WORLDCUP!BD66</f>
        <v>Iraq</v>
      </c>
      <c r="J299" s="9" t="str">
        <f ca="1">+WORLDCUP!BD68</f>
        <v>Uzbekistan</v>
      </c>
      <c r="N299" s="16" t="s">
        <v>958</v>
      </c>
      <c r="O299" s="16">
        <v>298</v>
      </c>
      <c r="P299" s="16" t="s">
        <v>94</v>
      </c>
      <c r="Q299" s="16" t="s">
        <v>451</v>
      </c>
      <c r="R299" s="16" t="s">
        <v>91</v>
      </c>
      <c r="S299" s="16" t="s">
        <v>90</v>
      </c>
      <c r="T299" s="16" t="s">
        <v>446</v>
      </c>
      <c r="U299" s="16" t="s">
        <v>445</v>
      </c>
      <c r="V299" s="16" t="s">
        <v>450</v>
      </c>
      <c r="W299" s="16" t="s">
        <v>452</v>
      </c>
    </row>
    <row r="300" spans="1:23" x14ac:dyDescent="0.2">
      <c r="A300" s="9" t="s">
        <v>957</v>
      </c>
      <c r="B300" s="9">
        <f ca="1">+IF(A300=WORLDCUP!$BI$112,1,0)</f>
        <v>0</v>
      </c>
      <c r="C300" s="9" t="str">
        <f ca="1">+WORLDCUP!BD62</f>
        <v>Ivory Coast</v>
      </c>
      <c r="D300" s="9" t="str">
        <f ca="1">+WORLDCUP!BD67</f>
        <v>Austria</v>
      </c>
      <c r="E300" s="9" t="str">
        <f ca="1">+WORLDCUP!BD59</f>
        <v>Qatar</v>
      </c>
      <c r="F300" s="9" t="str">
        <f ca="1">+WORLDCUP!BD58</f>
        <v>South Korea</v>
      </c>
      <c r="G300" s="9" t="str">
        <f ca="1">+WORLDCUP!BD66</f>
        <v>Iraq</v>
      </c>
      <c r="H300" s="9" t="str">
        <f ca="1">+WORLDCUP!BD63</f>
        <v>Sweden</v>
      </c>
      <c r="I300" s="9" t="str">
        <f ca="1">+WORLDCUP!BD69</f>
        <v>Ghana</v>
      </c>
      <c r="J300" s="9" t="str">
        <f ca="1">+WORLDCUP!BD68</f>
        <v>Uzbekistan</v>
      </c>
      <c r="N300" s="16" t="s">
        <v>957</v>
      </c>
      <c r="O300" s="16">
        <v>299</v>
      </c>
      <c r="P300" s="16" t="s">
        <v>94</v>
      </c>
      <c r="Q300" s="16" t="s">
        <v>451</v>
      </c>
      <c r="R300" s="16" t="s">
        <v>91</v>
      </c>
      <c r="S300" s="16" t="s">
        <v>90</v>
      </c>
      <c r="T300" s="16" t="s">
        <v>450</v>
      </c>
      <c r="U300" s="16" t="s">
        <v>95</v>
      </c>
      <c r="V300" s="16" t="s">
        <v>453</v>
      </c>
      <c r="W300" s="16" t="s">
        <v>452</v>
      </c>
    </row>
    <row r="301" spans="1:23" x14ac:dyDescent="0.2">
      <c r="A301" s="9" t="s">
        <v>956</v>
      </c>
      <c r="B301" s="9">
        <f ca="1">+IF(A301=WORLDCUP!$BI$112,1,0)</f>
        <v>0</v>
      </c>
      <c r="C301" s="9" t="str">
        <f ca="1">+WORLDCUP!BD62</f>
        <v>Ivory Coast</v>
      </c>
      <c r="D301" s="9" t="str">
        <f ca="1">+WORLDCUP!BD67</f>
        <v>Austria</v>
      </c>
      <c r="E301" s="9" t="str">
        <f ca="1">+WORLDCUP!BD59</f>
        <v>Qatar</v>
      </c>
      <c r="F301" s="9" t="str">
        <f ca="1">+WORLDCUP!BD63</f>
        <v>Sweden</v>
      </c>
      <c r="G301" s="9" t="str">
        <f ca="1">+WORLDCUP!BD58</f>
        <v>South Korea</v>
      </c>
      <c r="H301" s="9" t="str">
        <f ca="1">+WORLDCUP!BD65</f>
        <v>Saudi Arabia</v>
      </c>
      <c r="I301" s="9" t="str">
        <f ca="1">+WORLDCUP!BD69</f>
        <v>Ghana</v>
      </c>
      <c r="J301" s="9" t="str">
        <f ca="1">+WORLDCUP!BD68</f>
        <v>Uzbekistan</v>
      </c>
      <c r="N301" s="16" t="s">
        <v>956</v>
      </c>
      <c r="O301" s="16">
        <v>300</v>
      </c>
      <c r="P301" s="16" t="s">
        <v>94</v>
      </c>
      <c r="Q301" s="16" t="s">
        <v>451</v>
      </c>
      <c r="R301" s="16" t="s">
        <v>91</v>
      </c>
      <c r="S301" s="16" t="s">
        <v>95</v>
      </c>
      <c r="T301" s="16" t="s">
        <v>90</v>
      </c>
      <c r="U301" s="16" t="s">
        <v>446</v>
      </c>
      <c r="V301" s="16" t="s">
        <v>453</v>
      </c>
      <c r="W301" s="16" t="s">
        <v>452</v>
      </c>
    </row>
    <row r="302" spans="1:23" x14ac:dyDescent="0.2">
      <c r="A302" s="9" t="s">
        <v>955</v>
      </c>
      <c r="B302" s="9">
        <f ca="1">+IF(A302=WORLDCUP!$BI$112,1,0)</f>
        <v>0</v>
      </c>
      <c r="C302" s="9" t="str">
        <f ca="1">+WORLDCUP!BD62</f>
        <v>Ivory Coast</v>
      </c>
      <c r="D302" s="9" t="str">
        <f ca="1">+WORLDCUP!BD66</f>
        <v>Iraq</v>
      </c>
      <c r="E302" s="9" t="str">
        <f ca="1">+WORLDCUP!BD59</f>
        <v>Qatar</v>
      </c>
      <c r="F302" s="9" t="str">
        <f ca="1">+WORLDCUP!BD63</f>
        <v>Sweden</v>
      </c>
      <c r="G302" s="9" t="str">
        <f ca="1">+WORLDCUP!BD58</f>
        <v>South Korea</v>
      </c>
      <c r="H302" s="9" t="str">
        <f ca="1">+WORLDCUP!BD65</f>
        <v>Saudi Arabia</v>
      </c>
      <c r="I302" s="9" t="str">
        <f ca="1">+WORLDCUP!BD69</f>
        <v>Ghana</v>
      </c>
      <c r="J302" s="9" t="str">
        <f ca="1">+WORLDCUP!BD68</f>
        <v>Uzbekistan</v>
      </c>
      <c r="N302" s="16" t="s">
        <v>955</v>
      </c>
      <c r="O302" s="16">
        <v>301</v>
      </c>
      <c r="P302" s="16" t="s">
        <v>94</v>
      </c>
      <c r="Q302" s="16" t="s">
        <v>450</v>
      </c>
      <c r="R302" s="16" t="s">
        <v>91</v>
      </c>
      <c r="S302" s="16" t="s">
        <v>95</v>
      </c>
      <c r="T302" s="16" t="s">
        <v>90</v>
      </c>
      <c r="U302" s="16" t="s">
        <v>446</v>
      </c>
      <c r="V302" s="16" t="s">
        <v>453</v>
      </c>
      <c r="W302" s="16" t="s">
        <v>452</v>
      </c>
    </row>
    <row r="303" spans="1:23" x14ac:dyDescent="0.2">
      <c r="A303" s="9" t="s">
        <v>954</v>
      </c>
      <c r="B303" s="9">
        <f ca="1">+IF(A303=WORLDCUP!$BI$112,1,0)</f>
        <v>0</v>
      </c>
      <c r="C303" s="9" t="str">
        <f ca="1">+WORLDCUP!BD62</f>
        <v>Ivory Coast</v>
      </c>
      <c r="D303" s="9" t="str">
        <f ca="1">+WORLDCUP!BD67</f>
        <v>Austria</v>
      </c>
      <c r="E303" s="9" t="str">
        <f ca="1">+WORLDCUP!BD59</f>
        <v>Qatar</v>
      </c>
      <c r="F303" s="9" t="str">
        <f ca="1">+WORLDCUP!BD63</f>
        <v>Sweden</v>
      </c>
      <c r="G303" s="9" t="str">
        <f ca="1">+WORLDCUP!BD58</f>
        <v>South Korea</v>
      </c>
      <c r="H303" s="9" t="str">
        <f ca="1">+WORLDCUP!BD65</f>
        <v>Saudi Arabia</v>
      </c>
      <c r="I303" s="9" t="str">
        <f ca="1">+WORLDCUP!BD69</f>
        <v>Ghana</v>
      </c>
      <c r="J303" s="9" t="str">
        <f ca="1">+WORLDCUP!BD66</f>
        <v>Iraq</v>
      </c>
      <c r="N303" s="16" t="s">
        <v>954</v>
      </c>
      <c r="O303" s="16">
        <v>302</v>
      </c>
      <c r="P303" s="16" t="s">
        <v>94</v>
      </c>
      <c r="Q303" s="16" t="s">
        <v>451</v>
      </c>
      <c r="R303" s="16" t="s">
        <v>91</v>
      </c>
      <c r="S303" s="16" t="s">
        <v>95</v>
      </c>
      <c r="T303" s="16" t="s">
        <v>90</v>
      </c>
      <c r="U303" s="16" t="s">
        <v>446</v>
      </c>
      <c r="V303" s="16" t="s">
        <v>453</v>
      </c>
      <c r="W303" s="16" t="s">
        <v>450</v>
      </c>
    </row>
    <row r="304" spans="1:23" x14ac:dyDescent="0.2">
      <c r="A304" s="9" t="s">
        <v>953</v>
      </c>
      <c r="B304" s="9">
        <f ca="1">+IF(A304=WORLDCUP!$BI$112,1,0)</f>
        <v>0</v>
      </c>
      <c r="C304" s="9" t="str">
        <f ca="1">+WORLDCUP!BD62</f>
        <v>Ivory Coast</v>
      </c>
      <c r="D304" s="9" t="str">
        <f ca="1">+WORLDCUP!BD67</f>
        <v>Austria</v>
      </c>
      <c r="E304" s="9" t="str">
        <f ca="1">+WORLDCUP!BD59</f>
        <v>Qatar</v>
      </c>
      <c r="F304" s="9" t="str">
        <f ca="1">+WORLDCUP!BD63</f>
        <v>Sweden</v>
      </c>
      <c r="G304" s="9" t="str">
        <f ca="1">+WORLDCUP!BD58</f>
        <v>South Korea</v>
      </c>
      <c r="H304" s="9" t="str">
        <f ca="1">+WORLDCUP!BD65</f>
        <v>Saudi Arabia</v>
      </c>
      <c r="I304" s="9" t="str">
        <f ca="1">+WORLDCUP!BD66</f>
        <v>Iraq</v>
      </c>
      <c r="J304" s="9" t="str">
        <f ca="1">+WORLDCUP!BD68</f>
        <v>Uzbekistan</v>
      </c>
      <c r="N304" s="16" t="s">
        <v>953</v>
      </c>
      <c r="O304" s="16">
        <v>303</v>
      </c>
      <c r="P304" s="16" t="s">
        <v>94</v>
      </c>
      <c r="Q304" s="16" t="s">
        <v>451</v>
      </c>
      <c r="R304" s="16" t="s">
        <v>91</v>
      </c>
      <c r="S304" s="16" t="s">
        <v>95</v>
      </c>
      <c r="T304" s="16" t="s">
        <v>90</v>
      </c>
      <c r="U304" s="16" t="s">
        <v>446</v>
      </c>
      <c r="V304" s="16" t="s">
        <v>450</v>
      </c>
      <c r="W304" s="16" t="s">
        <v>452</v>
      </c>
    </row>
    <row r="305" spans="1:23" x14ac:dyDescent="0.2">
      <c r="A305" s="9" t="s">
        <v>952</v>
      </c>
      <c r="B305" s="9">
        <f ca="1">+IF(A305=WORLDCUP!$BI$112,1,0)</f>
        <v>0</v>
      </c>
      <c r="C305" s="9" t="str">
        <f ca="1">+WORLDCUP!BD62</f>
        <v>Ivory Coast</v>
      </c>
      <c r="D305" s="9" t="str">
        <f ca="1">+WORLDCUP!BD67</f>
        <v>Austria</v>
      </c>
      <c r="E305" s="9" t="str">
        <f ca="1">+WORLDCUP!BD59</f>
        <v>Qatar</v>
      </c>
      <c r="F305" s="9" t="str">
        <f ca="1">+WORLDCUP!BD63</f>
        <v>Sweden</v>
      </c>
      <c r="G305" s="9" t="str">
        <f ca="1">+WORLDCUP!BD58</f>
        <v>South Korea</v>
      </c>
      <c r="H305" s="9" t="str">
        <f ca="1">+WORLDCUP!BD64</f>
        <v>Iran</v>
      </c>
      <c r="I305" s="9" t="str">
        <f ca="1">+WORLDCUP!BD69</f>
        <v>Ghana</v>
      </c>
      <c r="J305" s="9" t="str">
        <f ca="1">+WORLDCUP!BD68</f>
        <v>Uzbekistan</v>
      </c>
      <c r="N305" s="16" t="s">
        <v>952</v>
      </c>
      <c r="O305" s="16">
        <v>304</v>
      </c>
      <c r="P305" s="16" t="s">
        <v>94</v>
      </c>
      <c r="Q305" s="16" t="s">
        <v>451</v>
      </c>
      <c r="R305" s="16" t="s">
        <v>91</v>
      </c>
      <c r="S305" s="16" t="s">
        <v>95</v>
      </c>
      <c r="T305" s="16" t="s">
        <v>90</v>
      </c>
      <c r="U305" s="16" t="s">
        <v>445</v>
      </c>
      <c r="V305" s="16" t="s">
        <v>453</v>
      </c>
      <c r="W305" s="16" t="s">
        <v>452</v>
      </c>
    </row>
    <row r="306" spans="1:23" x14ac:dyDescent="0.2">
      <c r="A306" s="9" t="s">
        <v>951</v>
      </c>
      <c r="B306" s="9">
        <f ca="1">+IF(A306=WORLDCUP!$BI$112,1,0)</f>
        <v>0</v>
      </c>
      <c r="C306" s="9" t="str">
        <f ca="1">+WORLDCUP!BD62</f>
        <v>Ivory Coast</v>
      </c>
      <c r="D306" s="9" t="str">
        <f ca="1">+WORLDCUP!BD64</f>
        <v>Iran</v>
      </c>
      <c r="E306" s="9" t="str">
        <f ca="1">+WORLDCUP!BD59</f>
        <v>Qatar</v>
      </c>
      <c r="F306" s="9" t="str">
        <f ca="1">+WORLDCUP!BD58</f>
        <v>South Korea</v>
      </c>
      <c r="G306" s="9" t="str">
        <f ca="1">+WORLDCUP!BD66</f>
        <v>Iraq</v>
      </c>
      <c r="H306" s="9" t="str">
        <f ca="1">+WORLDCUP!BD63</f>
        <v>Sweden</v>
      </c>
      <c r="I306" s="9" t="str">
        <f ca="1">+WORLDCUP!BD69</f>
        <v>Ghana</v>
      </c>
      <c r="J306" s="9" t="str">
        <f ca="1">+WORLDCUP!BD68</f>
        <v>Uzbekistan</v>
      </c>
      <c r="N306" s="16" t="s">
        <v>951</v>
      </c>
      <c r="O306" s="16">
        <v>305</v>
      </c>
      <c r="P306" s="16" t="s">
        <v>94</v>
      </c>
      <c r="Q306" s="16" t="s">
        <v>445</v>
      </c>
      <c r="R306" s="16" t="s">
        <v>91</v>
      </c>
      <c r="S306" s="16" t="s">
        <v>90</v>
      </c>
      <c r="T306" s="16" t="s">
        <v>450</v>
      </c>
      <c r="U306" s="16" t="s">
        <v>95</v>
      </c>
      <c r="V306" s="16" t="s">
        <v>453</v>
      </c>
      <c r="W306" s="16" t="s">
        <v>452</v>
      </c>
    </row>
    <row r="307" spans="1:23" x14ac:dyDescent="0.2">
      <c r="A307" s="9" t="s">
        <v>950</v>
      </c>
      <c r="B307" s="9">
        <f ca="1">+IF(A307=WORLDCUP!$BI$112,1,0)</f>
        <v>0</v>
      </c>
      <c r="C307" s="9" t="str">
        <f ca="1">+WORLDCUP!BD62</f>
        <v>Ivory Coast</v>
      </c>
      <c r="D307" s="9" t="str">
        <f ca="1">+WORLDCUP!BD67</f>
        <v>Austria</v>
      </c>
      <c r="E307" s="9" t="str">
        <f ca="1">+WORLDCUP!BD59</f>
        <v>Qatar</v>
      </c>
      <c r="F307" s="9" t="str">
        <f ca="1">+WORLDCUP!BD63</f>
        <v>Sweden</v>
      </c>
      <c r="G307" s="9" t="str">
        <f ca="1">+WORLDCUP!BD58</f>
        <v>South Korea</v>
      </c>
      <c r="H307" s="9" t="str">
        <f ca="1">+WORLDCUP!BD64</f>
        <v>Iran</v>
      </c>
      <c r="I307" s="9" t="str">
        <f ca="1">+WORLDCUP!BD69</f>
        <v>Ghana</v>
      </c>
      <c r="J307" s="9" t="str">
        <f ca="1">+WORLDCUP!BD66</f>
        <v>Iraq</v>
      </c>
      <c r="N307" s="16" t="s">
        <v>950</v>
      </c>
      <c r="O307" s="16">
        <v>306</v>
      </c>
      <c r="P307" s="16" t="s">
        <v>94</v>
      </c>
      <c r="Q307" s="16" t="s">
        <v>451</v>
      </c>
      <c r="R307" s="16" t="s">
        <v>91</v>
      </c>
      <c r="S307" s="16" t="s">
        <v>95</v>
      </c>
      <c r="T307" s="16" t="s">
        <v>90</v>
      </c>
      <c r="U307" s="16" t="s">
        <v>445</v>
      </c>
      <c r="V307" s="16" t="s">
        <v>453</v>
      </c>
      <c r="W307" s="16" t="s">
        <v>450</v>
      </c>
    </row>
    <row r="308" spans="1:23" x14ac:dyDescent="0.2">
      <c r="A308" s="9" t="s">
        <v>949</v>
      </c>
      <c r="B308" s="9">
        <f ca="1">+IF(A308=WORLDCUP!$BI$112,1,0)</f>
        <v>0</v>
      </c>
      <c r="C308" s="9" t="str">
        <f ca="1">+WORLDCUP!BD62</f>
        <v>Ivory Coast</v>
      </c>
      <c r="D308" s="9" t="str">
        <f ca="1">+WORLDCUP!BD67</f>
        <v>Austria</v>
      </c>
      <c r="E308" s="9" t="str">
        <f ca="1">+WORLDCUP!BD59</f>
        <v>Qatar</v>
      </c>
      <c r="F308" s="9" t="str">
        <f ca="1">+WORLDCUP!BD63</f>
        <v>Sweden</v>
      </c>
      <c r="G308" s="9" t="str">
        <f ca="1">+WORLDCUP!BD58</f>
        <v>South Korea</v>
      </c>
      <c r="H308" s="9" t="str">
        <f ca="1">+WORLDCUP!BD64</f>
        <v>Iran</v>
      </c>
      <c r="I308" s="9" t="str">
        <f ca="1">+WORLDCUP!BD66</f>
        <v>Iraq</v>
      </c>
      <c r="J308" s="9" t="str">
        <f ca="1">+WORLDCUP!BD68</f>
        <v>Uzbekistan</v>
      </c>
      <c r="N308" s="16" t="s">
        <v>949</v>
      </c>
      <c r="O308" s="16">
        <v>307</v>
      </c>
      <c r="P308" s="16" t="s">
        <v>94</v>
      </c>
      <c r="Q308" s="16" t="s">
        <v>451</v>
      </c>
      <c r="R308" s="16" t="s">
        <v>91</v>
      </c>
      <c r="S308" s="16" t="s">
        <v>95</v>
      </c>
      <c r="T308" s="16" t="s">
        <v>90</v>
      </c>
      <c r="U308" s="16" t="s">
        <v>445</v>
      </c>
      <c r="V308" s="16" t="s">
        <v>450</v>
      </c>
      <c r="W308" s="16" t="s">
        <v>452</v>
      </c>
    </row>
    <row r="309" spans="1:23" x14ac:dyDescent="0.2">
      <c r="A309" s="9" t="s">
        <v>948</v>
      </c>
      <c r="B309" s="9">
        <f ca="1">+IF(A309=WORLDCUP!$BI$112,1,0)</f>
        <v>0</v>
      </c>
      <c r="C309" s="9" t="str">
        <f ca="1">+WORLDCUP!BD62</f>
        <v>Ivory Coast</v>
      </c>
      <c r="D309" s="9" t="str">
        <f ca="1">+WORLDCUP!BD64</f>
        <v>Iran</v>
      </c>
      <c r="E309" s="9" t="str">
        <f ca="1">+WORLDCUP!BD59</f>
        <v>Qatar</v>
      </c>
      <c r="F309" s="9" t="str">
        <f ca="1">+WORLDCUP!BD63</f>
        <v>Sweden</v>
      </c>
      <c r="G309" s="9" t="str">
        <f ca="1">+WORLDCUP!BD58</f>
        <v>South Korea</v>
      </c>
      <c r="H309" s="9" t="str">
        <f ca="1">+WORLDCUP!BD65</f>
        <v>Saudi Arabia</v>
      </c>
      <c r="I309" s="9" t="str">
        <f ca="1">+WORLDCUP!BD69</f>
        <v>Ghana</v>
      </c>
      <c r="J309" s="9" t="str">
        <f ca="1">+WORLDCUP!BD68</f>
        <v>Uzbekistan</v>
      </c>
      <c r="N309" s="16" t="s">
        <v>948</v>
      </c>
      <c r="O309" s="16">
        <v>308</v>
      </c>
      <c r="P309" s="16" t="s">
        <v>94</v>
      </c>
      <c r="Q309" s="16" t="s">
        <v>445</v>
      </c>
      <c r="R309" s="16" t="s">
        <v>91</v>
      </c>
      <c r="S309" s="16" t="s">
        <v>95</v>
      </c>
      <c r="T309" s="16" t="s">
        <v>90</v>
      </c>
      <c r="U309" s="16" t="s">
        <v>446</v>
      </c>
      <c r="V309" s="16" t="s">
        <v>453</v>
      </c>
      <c r="W309" s="16" t="s">
        <v>452</v>
      </c>
    </row>
    <row r="310" spans="1:23" x14ac:dyDescent="0.2">
      <c r="A310" s="9" t="s">
        <v>947</v>
      </c>
      <c r="B310" s="9">
        <f ca="1">+IF(A310=WORLDCUP!$BI$112,1,0)</f>
        <v>0</v>
      </c>
      <c r="C310" s="9" t="str">
        <f ca="1">+WORLDCUP!BD65</f>
        <v>Saudi Arabia</v>
      </c>
      <c r="D310" s="9" t="str">
        <f ca="1">+WORLDCUP!BD67</f>
        <v>Austria</v>
      </c>
      <c r="E310" s="9" t="str">
        <f ca="1">+WORLDCUP!BD59</f>
        <v>Qatar</v>
      </c>
      <c r="F310" s="9" t="str">
        <f ca="1">+WORLDCUP!BD63</f>
        <v>Sweden</v>
      </c>
      <c r="G310" s="9" t="str">
        <f ca="1">+WORLDCUP!BD58</f>
        <v>South Korea</v>
      </c>
      <c r="H310" s="9" t="str">
        <f ca="1">+WORLDCUP!BD64</f>
        <v>Iran</v>
      </c>
      <c r="I310" s="9" t="str">
        <f ca="1">+WORLDCUP!BD69</f>
        <v>Ghana</v>
      </c>
      <c r="J310" s="9" t="str">
        <f ca="1">+WORLDCUP!BD62</f>
        <v>Ivory Coast</v>
      </c>
      <c r="N310" s="16" t="s">
        <v>947</v>
      </c>
      <c r="O310" s="16">
        <v>309</v>
      </c>
      <c r="P310" s="16" t="s">
        <v>446</v>
      </c>
      <c r="Q310" s="16" t="s">
        <v>451</v>
      </c>
      <c r="R310" s="16" t="s">
        <v>91</v>
      </c>
      <c r="S310" s="16" t="s">
        <v>95</v>
      </c>
      <c r="T310" s="16" t="s">
        <v>90</v>
      </c>
      <c r="U310" s="16" t="s">
        <v>445</v>
      </c>
      <c r="V310" s="16" t="s">
        <v>453</v>
      </c>
      <c r="W310" s="16" t="s">
        <v>94</v>
      </c>
    </row>
    <row r="311" spans="1:23" x14ac:dyDescent="0.2">
      <c r="A311" s="9" t="s">
        <v>946</v>
      </c>
      <c r="B311" s="9">
        <f ca="1">+IF(A311=WORLDCUP!$BI$112,1,0)</f>
        <v>0</v>
      </c>
      <c r="C311" s="9" t="str">
        <f ca="1">+WORLDCUP!BD65</f>
        <v>Saudi Arabia</v>
      </c>
      <c r="D311" s="9" t="str">
        <f ca="1">+WORLDCUP!BD67</f>
        <v>Austria</v>
      </c>
      <c r="E311" s="9" t="str">
        <f ca="1">+WORLDCUP!BD59</f>
        <v>Qatar</v>
      </c>
      <c r="F311" s="9" t="str">
        <f ca="1">+WORLDCUP!BD63</f>
        <v>Sweden</v>
      </c>
      <c r="G311" s="9" t="str">
        <f ca="1">+WORLDCUP!BD58</f>
        <v>South Korea</v>
      </c>
      <c r="H311" s="9" t="str">
        <f ca="1">+WORLDCUP!BD64</f>
        <v>Iran</v>
      </c>
      <c r="I311" s="9" t="str">
        <f ca="1">+WORLDCUP!BD62</f>
        <v>Ivory Coast</v>
      </c>
      <c r="J311" s="9" t="str">
        <f ca="1">+WORLDCUP!BD68</f>
        <v>Uzbekistan</v>
      </c>
      <c r="N311" s="16" t="s">
        <v>946</v>
      </c>
      <c r="O311" s="16">
        <v>310</v>
      </c>
      <c r="P311" s="16" t="s">
        <v>446</v>
      </c>
      <c r="Q311" s="16" t="s">
        <v>451</v>
      </c>
      <c r="R311" s="16" t="s">
        <v>91</v>
      </c>
      <c r="S311" s="16" t="s">
        <v>95</v>
      </c>
      <c r="T311" s="16" t="s">
        <v>90</v>
      </c>
      <c r="U311" s="16" t="s">
        <v>445</v>
      </c>
      <c r="V311" s="16" t="s">
        <v>94</v>
      </c>
      <c r="W311" s="16" t="s">
        <v>452</v>
      </c>
    </row>
    <row r="312" spans="1:23" x14ac:dyDescent="0.2">
      <c r="A312" s="9" t="s">
        <v>945</v>
      </c>
      <c r="B312" s="9">
        <f ca="1">+IF(A312=WORLDCUP!$BI$112,1,0)</f>
        <v>0</v>
      </c>
      <c r="C312" s="9" t="str">
        <f ca="1">+WORLDCUP!BD62</f>
        <v>Ivory Coast</v>
      </c>
      <c r="D312" s="9" t="str">
        <f ca="1">+WORLDCUP!BD64</f>
        <v>Iran</v>
      </c>
      <c r="E312" s="9" t="str">
        <f ca="1">+WORLDCUP!BD59</f>
        <v>Qatar</v>
      </c>
      <c r="F312" s="9" t="str">
        <f ca="1">+WORLDCUP!BD63</f>
        <v>Sweden</v>
      </c>
      <c r="G312" s="9" t="str">
        <f ca="1">+WORLDCUP!BD58</f>
        <v>South Korea</v>
      </c>
      <c r="H312" s="9" t="str">
        <f ca="1">+WORLDCUP!BD65</f>
        <v>Saudi Arabia</v>
      </c>
      <c r="I312" s="9" t="str">
        <f ca="1">+WORLDCUP!BD69</f>
        <v>Ghana</v>
      </c>
      <c r="J312" s="9" t="str">
        <f ca="1">+WORLDCUP!BD66</f>
        <v>Iraq</v>
      </c>
      <c r="N312" s="16" t="s">
        <v>945</v>
      </c>
      <c r="O312" s="16">
        <v>311</v>
      </c>
      <c r="P312" s="16" t="s">
        <v>94</v>
      </c>
      <c r="Q312" s="16" t="s">
        <v>445</v>
      </c>
      <c r="R312" s="16" t="s">
        <v>91</v>
      </c>
      <c r="S312" s="16" t="s">
        <v>95</v>
      </c>
      <c r="T312" s="16" t="s">
        <v>90</v>
      </c>
      <c r="U312" s="16" t="s">
        <v>446</v>
      </c>
      <c r="V312" s="16" t="s">
        <v>453</v>
      </c>
      <c r="W312" s="16" t="s">
        <v>450</v>
      </c>
    </row>
    <row r="313" spans="1:23" x14ac:dyDescent="0.2">
      <c r="A313" s="9" t="s">
        <v>944</v>
      </c>
      <c r="B313" s="9">
        <f ca="1">+IF(A313=WORLDCUP!$BI$112,1,0)</f>
        <v>0</v>
      </c>
      <c r="C313" s="9" t="str">
        <f ca="1">+WORLDCUP!BD62</f>
        <v>Ivory Coast</v>
      </c>
      <c r="D313" s="9" t="str">
        <f ca="1">+WORLDCUP!BD64</f>
        <v>Iran</v>
      </c>
      <c r="E313" s="9" t="str">
        <f ca="1">+WORLDCUP!BD59</f>
        <v>Qatar</v>
      </c>
      <c r="F313" s="9" t="str">
        <f ca="1">+WORLDCUP!BD63</f>
        <v>Sweden</v>
      </c>
      <c r="G313" s="9" t="str">
        <f ca="1">+WORLDCUP!BD58</f>
        <v>South Korea</v>
      </c>
      <c r="H313" s="9" t="str">
        <f ca="1">+WORLDCUP!BD65</f>
        <v>Saudi Arabia</v>
      </c>
      <c r="I313" s="9" t="str">
        <f ca="1">+WORLDCUP!BD66</f>
        <v>Iraq</v>
      </c>
      <c r="J313" s="9" t="str">
        <f ca="1">+WORLDCUP!BD68</f>
        <v>Uzbekistan</v>
      </c>
      <c r="N313" s="16" t="s">
        <v>944</v>
      </c>
      <c r="O313" s="16">
        <v>312</v>
      </c>
      <c r="P313" s="16" t="s">
        <v>94</v>
      </c>
      <c r="Q313" s="16" t="s">
        <v>445</v>
      </c>
      <c r="R313" s="16" t="s">
        <v>91</v>
      </c>
      <c r="S313" s="16" t="s">
        <v>95</v>
      </c>
      <c r="T313" s="16" t="s">
        <v>90</v>
      </c>
      <c r="U313" s="16" t="s">
        <v>446</v>
      </c>
      <c r="V313" s="16" t="s">
        <v>450</v>
      </c>
      <c r="W313" s="16" t="s">
        <v>452</v>
      </c>
    </row>
    <row r="314" spans="1:23" x14ac:dyDescent="0.2">
      <c r="A314" s="9" t="s">
        <v>943</v>
      </c>
      <c r="B314" s="9">
        <f ca="1">+IF(A314=WORLDCUP!$BI$112,1,0)</f>
        <v>0</v>
      </c>
      <c r="C314" s="9" t="str">
        <f ca="1">+WORLDCUP!BD65</f>
        <v>Saudi Arabia</v>
      </c>
      <c r="D314" s="9" t="str">
        <f ca="1">+WORLDCUP!BD67</f>
        <v>Austria</v>
      </c>
      <c r="E314" s="9" t="str">
        <f ca="1">+WORLDCUP!BD59</f>
        <v>Qatar</v>
      </c>
      <c r="F314" s="9" t="str">
        <f ca="1">+WORLDCUP!BD63</f>
        <v>Sweden</v>
      </c>
      <c r="G314" s="9" t="str">
        <f ca="1">+WORLDCUP!BD58</f>
        <v>South Korea</v>
      </c>
      <c r="H314" s="9" t="str">
        <f ca="1">+WORLDCUP!BD64</f>
        <v>Iran</v>
      </c>
      <c r="I314" s="9" t="str">
        <f ca="1">+WORLDCUP!BD62</f>
        <v>Ivory Coast</v>
      </c>
      <c r="J314" s="9" t="str">
        <f ca="1">+WORLDCUP!BD66</f>
        <v>Iraq</v>
      </c>
      <c r="N314" s="16" t="s">
        <v>943</v>
      </c>
      <c r="O314" s="16">
        <v>313</v>
      </c>
      <c r="P314" s="16" t="s">
        <v>446</v>
      </c>
      <c r="Q314" s="16" t="s">
        <v>451</v>
      </c>
      <c r="R314" s="16" t="s">
        <v>91</v>
      </c>
      <c r="S314" s="16" t="s">
        <v>95</v>
      </c>
      <c r="T314" s="16" t="s">
        <v>90</v>
      </c>
      <c r="U314" s="16" t="s">
        <v>445</v>
      </c>
      <c r="V314" s="16" t="s">
        <v>94</v>
      </c>
      <c r="W314" s="16" t="s">
        <v>450</v>
      </c>
    </row>
    <row r="315" spans="1:23" x14ac:dyDescent="0.2">
      <c r="A315" s="9" t="s">
        <v>942</v>
      </c>
      <c r="B315" s="9">
        <f ca="1">+IF(A315=WORLDCUP!$BI$112,1,0)</f>
        <v>0</v>
      </c>
      <c r="C315" s="9" t="str">
        <f ca="1">+WORLDCUP!BD66</f>
        <v>Iraq</v>
      </c>
      <c r="D315" s="9" t="str">
        <f ca="1">+WORLDCUP!BD67</f>
        <v>Austria</v>
      </c>
      <c r="E315" s="9" t="str">
        <f ca="1">+WORLDCUP!BD59</f>
        <v>Qatar</v>
      </c>
      <c r="F315" s="9" t="str">
        <f ca="1">+WORLDCUP!BD61</f>
        <v>Australia</v>
      </c>
      <c r="G315" s="9" t="str">
        <f ca="1">+WORLDCUP!BD58</f>
        <v>South Korea</v>
      </c>
      <c r="H315" s="9" t="str">
        <f ca="1">+WORLDCUP!BD65</f>
        <v>Saudi Arabia</v>
      </c>
      <c r="I315" s="9" t="str">
        <f ca="1">+WORLDCUP!BD69</f>
        <v>Ghana</v>
      </c>
      <c r="J315" s="9" t="str">
        <f ca="1">+WORLDCUP!BD68</f>
        <v>Uzbekistan</v>
      </c>
      <c r="N315" s="16" t="s">
        <v>942</v>
      </c>
      <c r="O315" s="16">
        <v>314</v>
      </c>
      <c r="P315" s="16" t="s">
        <v>450</v>
      </c>
      <c r="Q315" s="16" t="s">
        <v>451</v>
      </c>
      <c r="R315" s="16" t="s">
        <v>91</v>
      </c>
      <c r="S315" s="16" t="s">
        <v>93</v>
      </c>
      <c r="T315" s="16" t="s">
        <v>90</v>
      </c>
      <c r="U315" s="16" t="s">
        <v>446</v>
      </c>
      <c r="V315" s="16" t="s">
        <v>453</v>
      </c>
      <c r="W315" s="16" t="s">
        <v>452</v>
      </c>
    </row>
    <row r="316" spans="1:23" x14ac:dyDescent="0.2">
      <c r="A316" s="9" t="s">
        <v>941</v>
      </c>
      <c r="B316" s="9">
        <f ca="1">+IF(A316=WORLDCUP!$BI$112,1,0)</f>
        <v>0</v>
      </c>
      <c r="C316" s="9" t="str">
        <f ca="1">+WORLDCUP!BD66</f>
        <v>Iraq</v>
      </c>
      <c r="D316" s="9" t="str">
        <f ca="1">+WORLDCUP!BD67</f>
        <v>Austria</v>
      </c>
      <c r="E316" s="9" t="str">
        <f ca="1">+WORLDCUP!BD59</f>
        <v>Qatar</v>
      </c>
      <c r="F316" s="9" t="str">
        <f ca="1">+WORLDCUP!BD61</f>
        <v>Australia</v>
      </c>
      <c r="G316" s="9" t="str">
        <f ca="1">+WORLDCUP!BD58</f>
        <v>South Korea</v>
      </c>
      <c r="H316" s="9" t="str">
        <f ca="1">+WORLDCUP!BD64</f>
        <v>Iran</v>
      </c>
      <c r="I316" s="9" t="str">
        <f ca="1">+WORLDCUP!BD69</f>
        <v>Ghana</v>
      </c>
      <c r="J316" s="9" t="str">
        <f ca="1">+WORLDCUP!BD68</f>
        <v>Uzbekistan</v>
      </c>
      <c r="N316" s="16" t="s">
        <v>941</v>
      </c>
      <c r="O316" s="16">
        <v>315</v>
      </c>
      <c r="P316" s="16" t="s">
        <v>450</v>
      </c>
      <c r="Q316" s="16" t="s">
        <v>451</v>
      </c>
      <c r="R316" s="16" t="s">
        <v>91</v>
      </c>
      <c r="S316" s="16" t="s">
        <v>93</v>
      </c>
      <c r="T316" s="16" t="s">
        <v>90</v>
      </c>
      <c r="U316" s="16" t="s">
        <v>445</v>
      </c>
      <c r="V316" s="16" t="s">
        <v>453</v>
      </c>
      <c r="W316" s="16" t="s">
        <v>452</v>
      </c>
    </row>
    <row r="317" spans="1:23" x14ac:dyDescent="0.2">
      <c r="A317" s="9" t="s">
        <v>940</v>
      </c>
      <c r="B317" s="9">
        <f ca="1">+IF(A317=WORLDCUP!$BI$112,1,0)</f>
        <v>0</v>
      </c>
      <c r="C317" s="9" t="str">
        <f ca="1">+WORLDCUP!BD65</f>
        <v>Saudi Arabia</v>
      </c>
      <c r="D317" s="9" t="str">
        <f ca="1">+WORLDCUP!BD67</f>
        <v>Austria</v>
      </c>
      <c r="E317" s="9" t="str">
        <f ca="1">+WORLDCUP!BD59</f>
        <v>Qatar</v>
      </c>
      <c r="F317" s="9" t="str">
        <f ca="1">+WORLDCUP!BD61</f>
        <v>Australia</v>
      </c>
      <c r="G317" s="9" t="str">
        <f ca="1">+WORLDCUP!BD58</f>
        <v>South Korea</v>
      </c>
      <c r="H317" s="9" t="str">
        <f ca="1">+WORLDCUP!BD64</f>
        <v>Iran</v>
      </c>
      <c r="I317" s="9" t="str">
        <f ca="1">+WORLDCUP!BD69</f>
        <v>Ghana</v>
      </c>
      <c r="J317" s="9" t="str">
        <f ca="1">+WORLDCUP!BD68</f>
        <v>Uzbekistan</v>
      </c>
      <c r="N317" s="16" t="s">
        <v>940</v>
      </c>
      <c r="O317" s="16">
        <v>316</v>
      </c>
      <c r="P317" s="16" t="s">
        <v>446</v>
      </c>
      <c r="Q317" s="16" t="s">
        <v>451</v>
      </c>
      <c r="R317" s="16" t="s">
        <v>91</v>
      </c>
      <c r="S317" s="16" t="s">
        <v>93</v>
      </c>
      <c r="T317" s="16" t="s">
        <v>90</v>
      </c>
      <c r="U317" s="16" t="s">
        <v>445</v>
      </c>
      <c r="V317" s="16" t="s">
        <v>453</v>
      </c>
      <c r="W317" s="16" t="s">
        <v>452</v>
      </c>
    </row>
    <row r="318" spans="1:23" x14ac:dyDescent="0.2">
      <c r="A318" s="9" t="s">
        <v>939</v>
      </c>
      <c r="B318" s="9">
        <f ca="1">+IF(A318=WORLDCUP!$BI$112,1,0)</f>
        <v>0</v>
      </c>
      <c r="C318" s="9" t="str">
        <f ca="1">+WORLDCUP!BD66</f>
        <v>Iraq</v>
      </c>
      <c r="D318" s="9" t="str">
        <f ca="1">+WORLDCUP!BD64</f>
        <v>Iran</v>
      </c>
      <c r="E318" s="9" t="str">
        <f ca="1">+WORLDCUP!BD59</f>
        <v>Qatar</v>
      </c>
      <c r="F318" s="9" t="str">
        <f ca="1">+WORLDCUP!BD61</f>
        <v>Australia</v>
      </c>
      <c r="G318" s="9" t="str">
        <f ca="1">+WORLDCUP!BD58</f>
        <v>South Korea</v>
      </c>
      <c r="H318" s="9" t="str">
        <f ca="1">+WORLDCUP!BD65</f>
        <v>Saudi Arabia</v>
      </c>
      <c r="I318" s="9" t="str">
        <f ca="1">+WORLDCUP!BD69</f>
        <v>Ghana</v>
      </c>
      <c r="J318" s="9" t="str">
        <f ca="1">+WORLDCUP!BD68</f>
        <v>Uzbekistan</v>
      </c>
      <c r="N318" s="16" t="s">
        <v>939</v>
      </c>
      <c r="O318" s="16">
        <v>317</v>
      </c>
      <c r="P318" s="16" t="s">
        <v>450</v>
      </c>
      <c r="Q318" s="16" t="s">
        <v>445</v>
      </c>
      <c r="R318" s="16" t="s">
        <v>91</v>
      </c>
      <c r="S318" s="16" t="s">
        <v>93</v>
      </c>
      <c r="T318" s="16" t="s">
        <v>90</v>
      </c>
      <c r="U318" s="16" t="s">
        <v>446</v>
      </c>
      <c r="V318" s="16" t="s">
        <v>453</v>
      </c>
      <c r="W318" s="16" t="s">
        <v>452</v>
      </c>
    </row>
    <row r="319" spans="1:23" x14ac:dyDescent="0.2">
      <c r="A319" s="9" t="s">
        <v>938</v>
      </c>
      <c r="B319" s="9">
        <f ca="1">+IF(A319=WORLDCUP!$BI$112,1,0)</f>
        <v>0</v>
      </c>
      <c r="C319" s="9" t="str">
        <f ca="1">+WORLDCUP!BD65</f>
        <v>Saudi Arabia</v>
      </c>
      <c r="D319" s="9" t="str">
        <f ca="1">+WORLDCUP!BD67</f>
        <v>Austria</v>
      </c>
      <c r="E319" s="9" t="str">
        <f ca="1">+WORLDCUP!BD59</f>
        <v>Qatar</v>
      </c>
      <c r="F319" s="9" t="str">
        <f ca="1">+WORLDCUP!BD61</f>
        <v>Australia</v>
      </c>
      <c r="G319" s="9" t="str">
        <f ca="1">+WORLDCUP!BD58</f>
        <v>South Korea</v>
      </c>
      <c r="H319" s="9" t="str">
        <f ca="1">+WORLDCUP!BD64</f>
        <v>Iran</v>
      </c>
      <c r="I319" s="9" t="str">
        <f ca="1">+WORLDCUP!BD69</f>
        <v>Ghana</v>
      </c>
      <c r="J319" s="9" t="str">
        <f ca="1">+WORLDCUP!BD66</f>
        <v>Iraq</v>
      </c>
      <c r="N319" s="16" t="s">
        <v>938</v>
      </c>
      <c r="O319" s="16">
        <v>318</v>
      </c>
      <c r="P319" s="16" t="s">
        <v>446</v>
      </c>
      <c r="Q319" s="16" t="s">
        <v>451</v>
      </c>
      <c r="R319" s="16" t="s">
        <v>91</v>
      </c>
      <c r="S319" s="16" t="s">
        <v>93</v>
      </c>
      <c r="T319" s="16" t="s">
        <v>90</v>
      </c>
      <c r="U319" s="16" t="s">
        <v>445</v>
      </c>
      <c r="V319" s="16" t="s">
        <v>453</v>
      </c>
      <c r="W319" s="16" t="s">
        <v>450</v>
      </c>
    </row>
    <row r="320" spans="1:23" x14ac:dyDescent="0.2">
      <c r="A320" s="9" t="s">
        <v>937</v>
      </c>
      <c r="B320" s="9">
        <f ca="1">+IF(A320=WORLDCUP!$BI$112,1,0)</f>
        <v>0</v>
      </c>
      <c r="C320" s="9" t="str">
        <f ca="1">+WORLDCUP!BD65</f>
        <v>Saudi Arabia</v>
      </c>
      <c r="D320" s="9" t="str">
        <f ca="1">+WORLDCUP!BD67</f>
        <v>Austria</v>
      </c>
      <c r="E320" s="9" t="str">
        <f ca="1">+WORLDCUP!BD59</f>
        <v>Qatar</v>
      </c>
      <c r="F320" s="9" t="str">
        <f ca="1">+WORLDCUP!BD61</f>
        <v>Australia</v>
      </c>
      <c r="G320" s="9" t="str">
        <f ca="1">+WORLDCUP!BD58</f>
        <v>South Korea</v>
      </c>
      <c r="H320" s="9" t="str">
        <f ca="1">+WORLDCUP!BD64</f>
        <v>Iran</v>
      </c>
      <c r="I320" s="9" t="str">
        <f ca="1">+WORLDCUP!BD66</f>
        <v>Iraq</v>
      </c>
      <c r="J320" s="9" t="str">
        <f ca="1">+WORLDCUP!BD68</f>
        <v>Uzbekistan</v>
      </c>
      <c r="N320" s="16" t="s">
        <v>937</v>
      </c>
      <c r="O320" s="16">
        <v>319</v>
      </c>
      <c r="P320" s="16" t="s">
        <v>446</v>
      </c>
      <c r="Q320" s="16" t="s">
        <v>451</v>
      </c>
      <c r="R320" s="16" t="s">
        <v>91</v>
      </c>
      <c r="S320" s="16" t="s">
        <v>93</v>
      </c>
      <c r="T320" s="16" t="s">
        <v>90</v>
      </c>
      <c r="U320" s="16" t="s">
        <v>445</v>
      </c>
      <c r="V320" s="16" t="s">
        <v>450</v>
      </c>
      <c r="W320" s="16" t="s">
        <v>452</v>
      </c>
    </row>
    <row r="321" spans="1:23" x14ac:dyDescent="0.2">
      <c r="A321" s="9" t="s">
        <v>936</v>
      </c>
      <c r="B321" s="9">
        <f ca="1">+IF(A321=WORLDCUP!$BI$112,1,0)</f>
        <v>0</v>
      </c>
      <c r="C321" s="9" t="str">
        <f ca="1">+WORLDCUP!BD66</f>
        <v>Iraq</v>
      </c>
      <c r="D321" s="9" t="str">
        <f ca="1">+WORLDCUP!BD67</f>
        <v>Austria</v>
      </c>
      <c r="E321" s="9" t="str">
        <f ca="1">+WORLDCUP!BD59</f>
        <v>Qatar</v>
      </c>
      <c r="F321" s="9" t="str">
        <f ca="1">+WORLDCUP!BD61</f>
        <v>Australia</v>
      </c>
      <c r="G321" s="9" t="str">
        <f ca="1">+WORLDCUP!BD58</f>
        <v>South Korea</v>
      </c>
      <c r="H321" s="9" t="str">
        <f ca="1">+WORLDCUP!BD63</f>
        <v>Sweden</v>
      </c>
      <c r="I321" s="9" t="str">
        <f ca="1">+WORLDCUP!BD69</f>
        <v>Ghana</v>
      </c>
      <c r="J321" s="9" t="str">
        <f ca="1">+WORLDCUP!BD68</f>
        <v>Uzbekistan</v>
      </c>
      <c r="N321" s="16" t="s">
        <v>936</v>
      </c>
      <c r="O321" s="16">
        <v>320</v>
      </c>
      <c r="P321" s="16" t="s">
        <v>450</v>
      </c>
      <c r="Q321" s="16" t="s">
        <v>451</v>
      </c>
      <c r="R321" s="16" t="s">
        <v>91</v>
      </c>
      <c r="S321" s="16" t="s">
        <v>93</v>
      </c>
      <c r="T321" s="16" t="s">
        <v>90</v>
      </c>
      <c r="U321" s="16" t="s">
        <v>95</v>
      </c>
      <c r="V321" s="16" t="s">
        <v>453</v>
      </c>
      <c r="W321" s="16" t="s">
        <v>452</v>
      </c>
    </row>
    <row r="322" spans="1:23" x14ac:dyDescent="0.2">
      <c r="A322" s="9" t="s">
        <v>935</v>
      </c>
      <c r="B322" s="9">
        <f ca="1">+IF(A322=WORLDCUP!$BI$112,1,0)</f>
        <v>0</v>
      </c>
      <c r="C322" s="9" t="str">
        <f ca="1">+WORLDCUP!BD65</f>
        <v>Saudi Arabia</v>
      </c>
      <c r="D322" s="9" t="str">
        <f ca="1">+WORLDCUP!BD67</f>
        <v>Austria</v>
      </c>
      <c r="E322" s="9" t="str">
        <f ca="1">+WORLDCUP!BD59</f>
        <v>Qatar</v>
      </c>
      <c r="F322" s="9" t="str">
        <f ca="1">+WORLDCUP!BD61</f>
        <v>Australia</v>
      </c>
      <c r="G322" s="9" t="str">
        <f ca="1">+WORLDCUP!BD58</f>
        <v>South Korea</v>
      </c>
      <c r="H322" s="9" t="str">
        <f ca="1">+WORLDCUP!BD63</f>
        <v>Sweden</v>
      </c>
      <c r="I322" s="9" t="str">
        <f ca="1">+WORLDCUP!BD69</f>
        <v>Ghana</v>
      </c>
      <c r="J322" s="9" t="str">
        <f ca="1">+WORLDCUP!BD68</f>
        <v>Uzbekistan</v>
      </c>
      <c r="N322" s="16" t="s">
        <v>935</v>
      </c>
      <c r="O322" s="16">
        <v>321</v>
      </c>
      <c r="P322" s="16" t="s">
        <v>446</v>
      </c>
      <c r="Q322" s="16" t="s">
        <v>451</v>
      </c>
      <c r="R322" s="16" t="s">
        <v>91</v>
      </c>
      <c r="S322" s="16" t="s">
        <v>93</v>
      </c>
      <c r="T322" s="16" t="s">
        <v>90</v>
      </c>
      <c r="U322" s="16" t="s">
        <v>95</v>
      </c>
      <c r="V322" s="16" t="s">
        <v>453</v>
      </c>
      <c r="W322" s="16" t="s">
        <v>452</v>
      </c>
    </row>
    <row r="323" spans="1:23" x14ac:dyDescent="0.2">
      <c r="A323" s="9" t="s">
        <v>934</v>
      </c>
      <c r="B323" s="9">
        <f ca="1">+IF(A323=WORLDCUP!$BI$112,1,0)</f>
        <v>0</v>
      </c>
      <c r="C323" s="9" t="str">
        <f ca="1">+WORLDCUP!BD65</f>
        <v>Saudi Arabia</v>
      </c>
      <c r="D323" s="9" t="str">
        <f ca="1">+WORLDCUP!BD66</f>
        <v>Iraq</v>
      </c>
      <c r="E323" s="9" t="str">
        <f ca="1">+WORLDCUP!BD59</f>
        <v>Qatar</v>
      </c>
      <c r="F323" s="9" t="str">
        <f ca="1">+WORLDCUP!BD61</f>
        <v>Australia</v>
      </c>
      <c r="G323" s="9" t="str">
        <f ca="1">+WORLDCUP!BD58</f>
        <v>South Korea</v>
      </c>
      <c r="H323" s="9" t="str">
        <f ca="1">+WORLDCUP!BD63</f>
        <v>Sweden</v>
      </c>
      <c r="I323" s="9" t="str">
        <f ca="1">+WORLDCUP!BD69</f>
        <v>Ghana</v>
      </c>
      <c r="J323" s="9" t="str">
        <f ca="1">+WORLDCUP!BD68</f>
        <v>Uzbekistan</v>
      </c>
      <c r="N323" s="16" t="s">
        <v>934</v>
      </c>
      <c r="O323" s="16">
        <v>322</v>
      </c>
      <c r="P323" s="16" t="s">
        <v>446</v>
      </c>
      <c r="Q323" s="16" t="s">
        <v>450</v>
      </c>
      <c r="R323" s="16" t="s">
        <v>91</v>
      </c>
      <c r="S323" s="16" t="s">
        <v>93</v>
      </c>
      <c r="T323" s="16" t="s">
        <v>90</v>
      </c>
      <c r="U323" s="16" t="s">
        <v>95</v>
      </c>
      <c r="V323" s="16" t="s">
        <v>453</v>
      </c>
      <c r="W323" s="16" t="s">
        <v>452</v>
      </c>
    </row>
    <row r="324" spans="1:23" x14ac:dyDescent="0.2">
      <c r="A324" s="9" t="s">
        <v>933</v>
      </c>
      <c r="B324" s="9">
        <f ca="1">+IF(A324=WORLDCUP!$BI$112,1,0)</f>
        <v>0</v>
      </c>
      <c r="C324" s="9" t="str">
        <f ca="1">+WORLDCUP!BD65</f>
        <v>Saudi Arabia</v>
      </c>
      <c r="D324" s="9" t="str">
        <f ca="1">+WORLDCUP!BD67</f>
        <v>Austria</v>
      </c>
      <c r="E324" s="9" t="str">
        <f ca="1">+WORLDCUP!BD59</f>
        <v>Qatar</v>
      </c>
      <c r="F324" s="9" t="str">
        <f ca="1">+WORLDCUP!BD61</f>
        <v>Australia</v>
      </c>
      <c r="G324" s="9" t="str">
        <f ca="1">+WORLDCUP!BD58</f>
        <v>South Korea</v>
      </c>
      <c r="H324" s="9" t="str">
        <f ca="1">+WORLDCUP!BD63</f>
        <v>Sweden</v>
      </c>
      <c r="I324" s="9" t="str">
        <f ca="1">+WORLDCUP!BD69</f>
        <v>Ghana</v>
      </c>
      <c r="J324" s="9" t="str">
        <f ca="1">+WORLDCUP!BD66</f>
        <v>Iraq</v>
      </c>
      <c r="N324" s="16" t="s">
        <v>933</v>
      </c>
      <c r="O324" s="16">
        <v>323</v>
      </c>
      <c r="P324" s="16" t="s">
        <v>446</v>
      </c>
      <c r="Q324" s="16" t="s">
        <v>451</v>
      </c>
      <c r="R324" s="16" t="s">
        <v>91</v>
      </c>
      <c r="S324" s="16" t="s">
        <v>93</v>
      </c>
      <c r="T324" s="16" t="s">
        <v>90</v>
      </c>
      <c r="U324" s="16" t="s">
        <v>95</v>
      </c>
      <c r="V324" s="16" t="s">
        <v>453</v>
      </c>
      <c r="W324" s="16" t="s">
        <v>450</v>
      </c>
    </row>
    <row r="325" spans="1:23" x14ac:dyDescent="0.2">
      <c r="A325" s="9" t="s">
        <v>932</v>
      </c>
      <c r="B325" s="9">
        <f ca="1">+IF(A325=WORLDCUP!$BI$112,1,0)</f>
        <v>0</v>
      </c>
      <c r="C325" s="9" t="str">
        <f ca="1">+WORLDCUP!BD65</f>
        <v>Saudi Arabia</v>
      </c>
      <c r="D325" s="9" t="str">
        <f ca="1">+WORLDCUP!BD67</f>
        <v>Austria</v>
      </c>
      <c r="E325" s="9" t="str">
        <f ca="1">+WORLDCUP!BD59</f>
        <v>Qatar</v>
      </c>
      <c r="F325" s="9" t="str">
        <f ca="1">+WORLDCUP!BD61</f>
        <v>Australia</v>
      </c>
      <c r="G325" s="9" t="str">
        <f ca="1">+WORLDCUP!BD58</f>
        <v>South Korea</v>
      </c>
      <c r="H325" s="9" t="str">
        <f ca="1">+WORLDCUP!BD63</f>
        <v>Sweden</v>
      </c>
      <c r="I325" s="9" t="str">
        <f ca="1">+WORLDCUP!BD66</f>
        <v>Iraq</v>
      </c>
      <c r="J325" s="9" t="str">
        <f ca="1">+WORLDCUP!BD68</f>
        <v>Uzbekistan</v>
      </c>
      <c r="N325" s="16" t="s">
        <v>932</v>
      </c>
      <c r="O325" s="16">
        <v>324</v>
      </c>
      <c r="P325" s="16" t="s">
        <v>446</v>
      </c>
      <c r="Q325" s="16" t="s">
        <v>451</v>
      </c>
      <c r="R325" s="16" t="s">
        <v>91</v>
      </c>
      <c r="S325" s="16" t="s">
        <v>93</v>
      </c>
      <c r="T325" s="16" t="s">
        <v>90</v>
      </c>
      <c r="U325" s="16" t="s">
        <v>95</v>
      </c>
      <c r="V325" s="16" t="s">
        <v>450</v>
      </c>
      <c r="W325" s="16" t="s">
        <v>452</v>
      </c>
    </row>
    <row r="326" spans="1:23" x14ac:dyDescent="0.2">
      <c r="A326" s="9" t="s">
        <v>931</v>
      </c>
      <c r="B326" s="9">
        <f ca="1">+IF(A326=WORLDCUP!$BI$112,1,0)</f>
        <v>0</v>
      </c>
      <c r="C326" s="9" t="str">
        <f ca="1">+WORLDCUP!BD63</f>
        <v>Sweden</v>
      </c>
      <c r="D326" s="9" t="str">
        <f ca="1">+WORLDCUP!BD67</f>
        <v>Austria</v>
      </c>
      <c r="E326" s="9" t="str">
        <f ca="1">+WORLDCUP!BD59</f>
        <v>Qatar</v>
      </c>
      <c r="F326" s="9" t="str">
        <f ca="1">+WORLDCUP!BD61</f>
        <v>Australia</v>
      </c>
      <c r="G326" s="9" t="str">
        <f ca="1">+WORLDCUP!BD58</f>
        <v>South Korea</v>
      </c>
      <c r="H326" s="9" t="str">
        <f ca="1">+WORLDCUP!BD64</f>
        <v>Iran</v>
      </c>
      <c r="I326" s="9" t="str">
        <f ca="1">+WORLDCUP!BD69</f>
        <v>Ghana</v>
      </c>
      <c r="J326" s="9" t="str">
        <f ca="1">+WORLDCUP!BD68</f>
        <v>Uzbekistan</v>
      </c>
      <c r="N326" s="16" t="s">
        <v>931</v>
      </c>
      <c r="O326" s="16">
        <v>325</v>
      </c>
      <c r="P326" s="16" t="s">
        <v>95</v>
      </c>
      <c r="Q326" s="16" t="s">
        <v>451</v>
      </c>
      <c r="R326" s="16" t="s">
        <v>91</v>
      </c>
      <c r="S326" s="16" t="s">
        <v>93</v>
      </c>
      <c r="T326" s="16" t="s">
        <v>90</v>
      </c>
      <c r="U326" s="16" t="s">
        <v>445</v>
      </c>
      <c r="V326" s="16" t="s">
        <v>453</v>
      </c>
      <c r="W326" s="16" t="s">
        <v>452</v>
      </c>
    </row>
    <row r="327" spans="1:23" x14ac:dyDescent="0.2">
      <c r="A327" s="9" t="s">
        <v>930</v>
      </c>
      <c r="B327" s="9">
        <f ca="1">+IF(A327=WORLDCUP!$BI$112,1,0)</f>
        <v>0</v>
      </c>
      <c r="C327" s="9" t="str">
        <f ca="1">+WORLDCUP!BD66</f>
        <v>Iraq</v>
      </c>
      <c r="D327" s="9" t="str">
        <f ca="1">+WORLDCUP!BD64</f>
        <v>Iran</v>
      </c>
      <c r="E327" s="9" t="str">
        <f ca="1">+WORLDCUP!BD59</f>
        <v>Qatar</v>
      </c>
      <c r="F327" s="9" t="str">
        <f ca="1">+WORLDCUP!BD61</f>
        <v>Australia</v>
      </c>
      <c r="G327" s="9" t="str">
        <f ca="1">+WORLDCUP!BD58</f>
        <v>South Korea</v>
      </c>
      <c r="H327" s="9" t="str">
        <f ca="1">+WORLDCUP!BD63</f>
        <v>Sweden</v>
      </c>
      <c r="I327" s="9" t="str">
        <f ca="1">+WORLDCUP!BD69</f>
        <v>Ghana</v>
      </c>
      <c r="J327" s="9" t="str">
        <f ca="1">+WORLDCUP!BD68</f>
        <v>Uzbekistan</v>
      </c>
      <c r="N327" s="16" t="s">
        <v>930</v>
      </c>
      <c r="O327" s="16">
        <v>326</v>
      </c>
      <c r="P327" s="16" t="s">
        <v>450</v>
      </c>
      <c r="Q327" s="16" t="s">
        <v>445</v>
      </c>
      <c r="R327" s="16" t="s">
        <v>91</v>
      </c>
      <c r="S327" s="16" t="s">
        <v>93</v>
      </c>
      <c r="T327" s="16" t="s">
        <v>90</v>
      </c>
      <c r="U327" s="16" t="s">
        <v>95</v>
      </c>
      <c r="V327" s="16" t="s">
        <v>453</v>
      </c>
      <c r="W327" s="16" t="s">
        <v>452</v>
      </c>
    </row>
    <row r="328" spans="1:23" x14ac:dyDescent="0.2">
      <c r="A328" s="9" t="s">
        <v>929</v>
      </c>
      <c r="B328" s="9">
        <f ca="1">+IF(A328=WORLDCUP!$BI$112,1,0)</f>
        <v>0</v>
      </c>
      <c r="C328" s="9" t="str">
        <f ca="1">+WORLDCUP!BD63</f>
        <v>Sweden</v>
      </c>
      <c r="D328" s="9" t="str">
        <f ca="1">+WORLDCUP!BD67</f>
        <v>Austria</v>
      </c>
      <c r="E328" s="9" t="str">
        <f ca="1">+WORLDCUP!BD59</f>
        <v>Qatar</v>
      </c>
      <c r="F328" s="9" t="str">
        <f ca="1">+WORLDCUP!BD61</f>
        <v>Australia</v>
      </c>
      <c r="G328" s="9" t="str">
        <f ca="1">+WORLDCUP!BD58</f>
        <v>South Korea</v>
      </c>
      <c r="H328" s="9" t="str">
        <f ca="1">+WORLDCUP!BD64</f>
        <v>Iran</v>
      </c>
      <c r="I328" s="9" t="str">
        <f ca="1">+WORLDCUP!BD69</f>
        <v>Ghana</v>
      </c>
      <c r="J328" s="9" t="str">
        <f ca="1">+WORLDCUP!BD66</f>
        <v>Iraq</v>
      </c>
      <c r="N328" s="16" t="s">
        <v>929</v>
      </c>
      <c r="O328" s="16">
        <v>327</v>
      </c>
      <c r="P328" s="16" t="s">
        <v>95</v>
      </c>
      <c r="Q328" s="16" t="s">
        <v>451</v>
      </c>
      <c r="R328" s="16" t="s">
        <v>91</v>
      </c>
      <c r="S328" s="16" t="s">
        <v>93</v>
      </c>
      <c r="T328" s="16" t="s">
        <v>90</v>
      </c>
      <c r="U328" s="16" t="s">
        <v>445</v>
      </c>
      <c r="V328" s="16" t="s">
        <v>453</v>
      </c>
      <c r="W328" s="16" t="s">
        <v>450</v>
      </c>
    </row>
    <row r="329" spans="1:23" x14ac:dyDescent="0.2">
      <c r="A329" s="9" t="s">
        <v>928</v>
      </c>
      <c r="B329" s="9">
        <f ca="1">+IF(A329=WORLDCUP!$BI$112,1,0)</f>
        <v>0</v>
      </c>
      <c r="C329" s="9" t="str">
        <f ca="1">+WORLDCUP!BD63</f>
        <v>Sweden</v>
      </c>
      <c r="D329" s="9" t="str">
        <f ca="1">+WORLDCUP!BD67</f>
        <v>Austria</v>
      </c>
      <c r="E329" s="9" t="str">
        <f ca="1">+WORLDCUP!BD59</f>
        <v>Qatar</v>
      </c>
      <c r="F329" s="9" t="str">
        <f ca="1">+WORLDCUP!BD61</f>
        <v>Australia</v>
      </c>
      <c r="G329" s="9" t="str">
        <f ca="1">+WORLDCUP!BD58</f>
        <v>South Korea</v>
      </c>
      <c r="H329" s="9" t="str">
        <f ca="1">+WORLDCUP!BD64</f>
        <v>Iran</v>
      </c>
      <c r="I329" s="9" t="str">
        <f ca="1">+WORLDCUP!BD66</f>
        <v>Iraq</v>
      </c>
      <c r="J329" s="9" t="str">
        <f ca="1">+WORLDCUP!BD68</f>
        <v>Uzbekistan</v>
      </c>
      <c r="N329" s="16" t="s">
        <v>928</v>
      </c>
      <c r="O329" s="16">
        <v>328</v>
      </c>
      <c r="P329" s="16" t="s">
        <v>95</v>
      </c>
      <c r="Q329" s="16" t="s">
        <v>451</v>
      </c>
      <c r="R329" s="16" t="s">
        <v>91</v>
      </c>
      <c r="S329" s="16" t="s">
        <v>93</v>
      </c>
      <c r="T329" s="16" t="s">
        <v>90</v>
      </c>
      <c r="U329" s="16" t="s">
        <v>445</v>
      </c>
      <c r="V329" s="16" t="s">
        <v>450</v>
      </c>
      <c r="W329" s="16" t="s">
        <v>452</v>
      </c>
    </row>
    <row r="330" spans="1:23" x14ac:dyDescent="0.2">
      <c r="A330" s="9" t="s">
        <v>927</v>
      </c>
      <c r="B330" s="9">
        <f ca="1">+IF(A330=WORLDCUP!$BI$112,1,0)</f>
        <v>0</v>
      </c>
      <c r="C330" s="9" t="str">
        <f ca="1">+WORLDCUP!BD65</f>
        <v>Saudi Arabia</v>
      </c>
      <c r="D330" s="9" t="str">
        <f ca="1">+WORLDCUP!BD64</f>
        <v>Iran</v>
      </c>
      <c r="E330" s="9" t="str">
        <f ca="1">+WORLDCUP!BD59</f>
        <v>Qatar</v>
      </c>
      <c r="F330" s="9" t="str">
        <f ca="1">+WORLDCUP!BD61</f>
        <v>Australia</v>
      </c>
      <c r="G330" s="9" t="str">
        <f ca="1">+WORLDCUP!BD58</f>
        <v>South Korea</v>
      </c>
      <c r="H330" s="9" t="str">
        <f ca="1">+WORLDCUP!BD63</f>
        <v>Sweden</v>
      </c>
      <c r="I330" s="9" t="str">
        <f ca="1">+WORLDCUP!BD69</f>
        <v>Ghana</v>
      </c>
      <c r="J330" s="9" t="str">
        <f ca="1">+WORLDCUP!BD68</f>
        <v>Uzbekistan</v>
      </c>
      <c r="N330" s="16" t="s">
        <v>927</v>
      </c>
      <c r="O330" s="16">
        <v>329</v>
      </c>
      <c r="P330" s="16" t="s">
        <v>446</v>
      </c>
      <c r="Q330" s="16" t="s">
        <v>445</v>
      </c>
      <c r="R330" s="16" t="s">
        <v>91</v>
      </c>
      <c r="S330" s="16" t="s">
        <v>93</v>
      </c>
      <c r="T330" s="16" t="s">
        <v>90</v>
      </c>
      <c r="U330" s="16" t="s">
        <v>95</v>
      </c>
      <c r="V330" s="16" t="s">
        <v>453</v>
      </c>
      <c r="W330" s="16" t="s">
        <v>452</v>
      </c>
    </row>
    <row r="331" spans="1:23" x14ac:dyDescent="0.2">
      <c r="A331" s="9" t="s">
        <v>926</v>
      </c>
      <c r="B331" s="9">
        <f ca="1">+IF(A331=WORLDCUP!$BI$112,1,0)</f>
        <v>0</v>
      </c>
      <c r="C331" s="9" t="str">
        <f ca="1">+WORLDCUP!BD65</f>
        <v>Saudi Arabia</v>
      </c>
      <c r="D331" s="9" t="str">
        <f ca="1">+WORLDCUP!BD64</f>
        <v>Iran</v>
      </c>
      <c r="E331" s="9" t="str">
        <f ca="1">+WORLDCUP!BD59</f>
        <v>Qatar</v>
      </c>
      <c r="F331" s="9" t="str">
        <f ca="1">+WORLDCUP!BD61</f>
        <v>Australia</v>
      </c>
      <c r="G331" s="9" t="str">
        <f ca="1">+WORLDCUP!BD58</f>
        <v>South Korea</v>
      </c>
      <c r="H331" s="9" t="str">
        <f ca="1">+WORLDCUP!BD63</f>
        <v>Sweden</v>
      </c>
      <c r="I331" s="9" t="str">
        <f ca="1">+WORLDCUP!BD69</f>
        <v>Ghana</v>
      </c>
      <c r="J331" s="9" t="str">
        <f ca="1">+WORLDCUP!BD67</f>
        <v>Austria</v>
      </c>
      <c r="N331" s="16" t="s">
        <v>926</v>
      </c>
      <c r="O331" s="16">
        <v>330</v>
      </c>
      <c r="P331" s="16" t="s">
        <v>446</v>
      </c>
      <c r="Q331" s="16" t="s">
        <v>445</v>
      </c>
      <c r="R331" s="16" t="s">
        <v>91</v>
      </c>
      <c r="S331" s="16" t="s">
        <v>93</v>
      </c>
      <c r="T331" s="16" t="s">
        <v>90</v>
      </c>
      <c r="U331" s="16" t="s">
        <v>95</v>
      </c>
      <c r="V331" s="16" t="s">
        <v>453</v>
      </c>
      <c r="W331" s="16" t="s">
        <v>451</v>
      </c>
    </row>
    <row r="332" spans="1:23" x14ac:dyDescent="0.2">
      <c r="A332" s="9" t="s">
        <v>925</v>
      </c>
      <c r="B332" s="9">
        <f ca="1">+IF(A332=WORLDCUP!$BI$112,1,0)</f>
        <v>0</v>
      </c>
      <c r="C332" s="9" t="str">
        <f ca="1">+WORLDCUP!BD65</f>
        <v>Saudi Arabia</v>
      </c>
      <c r="D332" s="9" t="str">
        <f ca="1">+WORLDCUP!BD64</f>
        <v>Iran</v>
      </c>
      <c r="E332" s="9" t="str">
        <f ca="1">+WORLDCUP!BD59</f>
        <v>Qatar</v>
      </c>
      <c r="F332" s="9" t="str">
        <f ca="1">+WORLDCUP!BD61</f>
        <v>Australia</v>
      </c>
      <c r="G332" s="9" t="str">
        <f ca="1">+WORLDCUP!BD58</f>
        <v>South Korea</v>
      </c>
      <c r="H332" s="9" t="str">
        <f ca="1">+WORLDCUP!BD63</f>
        <v>Sweden</v>
      </c>
      <c r="I332" s="9" t="str">
        <f ca="1">+WORLDCUP!BD67</f>
        <v>Austria</v>
      </c>
      <c r="J332" s="9" t="str">
        <f ca="1">+WORLDCUP!BD68</f>
        <v>Uzbekistan</v>
      </c>
      <c r="N332" s="16" t="s">
        <v>925</v>
      </c>
      <c r="O332" s="16">
        <v>331</v>
      </c>
      <c r="P332" s="16" t="s">
        <v>446</v>
      </c>
      <c r="Q332" s="16" t="s">
        <v>445</v>
      </c>
      <c r="R332" s="16" t="s">
        <v>91</v>
      </c>
      <c r="S332" s="16" t="s">
        <v>93</v>
      </c>
      <c r="T332" s="16" t="s">
        <v>90</v>
      </c>
      <c r="U332" s="16" t="s">
        <v>95</v>
      </c>
      <c r="V332" s="16" t="s">
        <v>451</v>
      </c>
      <c r="W332" s="16" t="s">
        <v>452</v>
      </c>
    </row>
    <row r="333" spans="1:23" x14ac:dyDescent="0.2">
      <c r="A333" s="9" t="s">
        <v>924</v>
      </c>
      <c r="B333" s="9">
        <f ca="1">+IF(A333=WORLDCUP!$BI$112,1,0)</f>
        <v>0</v>
      </c>
      <c r="C333" s="9" t="str">
        <f ca="1">+WORLDCUP!BD65</f>
        <v>Saudi Arabia</v>
      </c>
      <c r="D333" s="9" t="str">
        <f ca="1">+WORLDCUP!BD64</f>
        <v>Iran</v>
      </c>
      <c r="E333" s="9" t="str">
        <f ca="1">+WORLDCUP!BD59</f>
        <v>Qatar</v>
      </c>
      <c r="F333" s="9" t="str">
        <f ca="1">+WORLDCUP!BD61</f>
        <v>Australia</v>
      </c>
      <c r="G333" s="9" t="str">
        <f ca="1">+WORLDCUP!BD58</f>
        <v>South Korea</v>
      </c>
      <c r="H333" s="9" t="str">
        <f ca="1">+WORLDCUP!BD63</f>
        <v>Sweden</v>
      </c>
      <c r="I333" s="9" t="str">
        <f ca="1">+WORLDCUP!BD69</f>
        <v>Ghana</v>
      </c>
      <c r="J333" s="9" t="str">
        <f ca="1">+WORLDCUP!BD66</f>
        <v>Iraq</v>
      </c>
      <c r="N333" s="16" t="s">
        <v>924</v>
      </c>
      <c r="O333" s="16">
        <v>332</v>
      </c>
      <c r="P333" s="16" t="s">
        <v>446</v>
      </c>
      <c r="Q333" s="16" t="s">
        <v>445</v>
      </c>
      <c r="R333" s="16" t="s">
        <v>91</v>
      </c>
      <c r="S333" s="16" t="s">
        <v>93</v>
      </c>
      <c r="T333" s="16" t="s">
        <v>90</v>
      </c>
      <c r="U333" s="16" t="s">
        <v>95</v>
      </c>
      <c r="V333" s="16" t="s">
        <v>453</v>
      </c>
      <c r="W333" s="16" t="s">
        <v>450</v>
      </c>
    </row>
    <row r="334" spans="1:23" x14ac:dyDescent="0.2">
      <c r="A334" s="9" t="s">
        <v>923</v>
      </c>
      <c r="B334" s="9">
        <f ca="1">+IF(A334=WORLDCUP!$BI$112,1,0)</f>
        <v>0</v>
      </c>
      <c r="C334" s="9" t="str">
        <f ca="1">+WORLDCUP!BD65</f>
        <v>Saudi Arabia</v>
      </c>
      <c r="D334" s="9" t="str">
        <f ca="1">+WORLDCUP!BD64</f>
        <v>Iran</v>
      </c>
      <c r="E334" s="9" t="str">
        <f ca="1">+WORLDCUP!BD59</f>
        <v>Qatar</v>
      </c>
      <c r="F334" s="9" t="str">
        <f ca="1">+WORLDCUP!BD61</f>
        <v>Australia</v>
      </c>
      <c r="G334" s="9" t="str">
        <f ca="1">+WORLDCUP!BD58</f>
        <v>South Korea</v>
      </c>
      <c r="H334" s="9" t="str">
        <f ca="1">+WORLDCUP!BD63</f>
        <v>Sweden</v>
      </c>
      <c r="I334" s="9" t="str">
        <f ca="1">+WORLDCUP!BD66</f>
        <v>Iraq</v>
      </c>
      <c r="J334" s="9" t="str">
        <f ca="1">+WORLDCUP!BD68</f>
        <v>Uzbekistan</v>
      </c>
      <c r="N334" s="16" t="s">
        <v>923</v>
      </c>
      <c r="O334" s="16">
        <v>333</v>
      </c>
      <c r="P334" s="16" t="s">
        <v>446</v>
      </c>
      <c r="Q334" s="16" t="s">
        <v>445</v>
      </c>
      <c r="R334" s="16" t="s">
        <v>91</v>
      </c>
      <c r="S334" s="16" t="s">
        <v>93</v>
      </c>
      <c r="T334" s="16" t="s">
        <v>90</v>
      </c>
      <c r="U334" s="16" t="s">
        <v>95</v>
      </c>
      <c r="V334" s="16" t="s">
        <v>450</v>
      </c>
      <c r="W334" s="16" t="s">
        <v>452</v>
      </c>
    </row>
    <row r="335" spans="1:23" x14ac:dyDescent="0.2">
      <c r="A335" s="9" t="s">
        <v>922</v>
      </c>
      <c r="B335" s="9">
        <f ca="1">+IF(A335=WORLDCUP!$BI$112,1,0)</f>
        <v>0</v>
      </c>
      <c r="C335" s="9" t="str">
        <f ca="1">+WORLDCUP!BD65</f>
        <v>Saudi Arabia</v>
      </c>
      <c r="D335" s="9" t="str">
        <f ca="1">+WORLDCUP!BD64</f>
        <v>Iran</v>
      </c>
      <c r="E335" s="9" t="str">
        <f ca="1">+WORLDCUP!BD59</f>
        <v>Qatar</v>
      </c>
      <c r="F335" s="9" t="str">
        <f ca="1">+WORLDCUP!BD61</f>
        <v>Australia</v>
      </c>
      <c r="G335" s="9" t="str">
        <f ca="1">+WORLDCUP!BD58</f>
        <v>South Korea</v>
      </c>
      <c r="H335" s="9" t="str">
        <f ca="1">+WORLDCUP!BD63</f>
        <v>Sweden</v>
      </c>
      <c r="I335" s="9" t="str">
        <f ca="1">+WORLDCUP!BD66</f>
        <v>Iraq</v>
      </c>
      <c r="J335" s="9" t="str">
        <f ca="1">+WORLDCUP!BD67</f>
        <v>Austria</v>
      </c>
      <c r="N335" s="16" t="s">
        <v>922</v>
      </c>
      <c r="O335" s="16">
        <v>334</v>
      </c>
      <c r="P335" s="16" t="s">
        <v>446</v>
      </c>
      <c r="Q335" s="16" t="s">
        <v>445</v>
      </c>
      <c r="R335" s="16" t="s">
        <v>91</v>
      </c>
      <c r="S335" s="16" t="s">
        <v>93</v>
      </c>
      <c r="T335" s="16" t="s">
        <v>90</v>
      </c>
      <c r="U335" s="16" t="s">
        <v>95</v>
      </c>
      <c r="V335" s="16" t="s">
        <v>450</v>
      </c>
      <c r="W335" s="16" t="s">
        <v>451</v>
      </c>
    </row>
    <row r="336" spans="1:23" x14ac:dyDescent="0.2">
      <c r="A336" s="9" t="s">
        <v>921</v>
      </c>
      <c r="B336" s="9">
        <f ca="1">+IF(A336=WORLDCUP!$BI$112,1,0)</f>
        <v>0</v>
      </c>
      <c r="C336" s="9" t="str">
        <f ca="1">+WORLDCUP!BD62</f>
        <v>Ivory Coast</v>
      </c>
      <c r="D336" s="9" t="str">
        <f ca="1">+WORLDCUP!BD67</f>
        <v>Austria</v>
      </c>
      <c r="E336" s="9" t="str">
        <f ca="1">+WORLDCUP!BD59</f>
        <v>Qatar</v>
      </c>
      <c r="F336" s="9" t="str">
        <f ca="1">+WORLDCUP!BD58</f>
        <v>South Korea</v>
      </c>
      <c r="G336" s="9" t="str">
        <f ca="1">+WORLDCUP!BD66</f>
        <v>Iraq</v>
      </c>
      <c r="H336" s="9" t="str">
        <f ca="1">+WORLDCUP!BD61</f>
        <v>Australia</v>
      </c>
      <c r="I336" s="9" t="str">
        <f ca="1">+WORLDCUP!BD69</f>
        <v>Ghana</v>
      </c>
      <c r="J336" s="9" t="str">
        <f ca="1">+WORLDCUP!BD68</f>
        <v>Uzbekistan</v>
      </c>
      <c r="N336" s="16" t="s">
        <v>921</v>
      </c>
      <c r="O336" s="16">
        <v>335</v>
      </c>
      <c r="P336" s="16" t="s">
        <v>94</v>
      </c>
      <c r="Q336" s="16" t="s">
        <v>451</v>
      </c>
      <c r="R336" s="16" t="s">
        <v>91</v>
      </c>
      <c r="S336" s="16" t="s">
        <v>90</v>
      </c>
      <c r="T336" s="16" t="s">
        <v>450</v>
      </c>
      <c r="U336" s="16" t="s">
        <v>93</v>
      </c>
      <c r="V336" s="16" t="s">
        <v>453</v>
      </c>
      <c r="W336" s="16" t="s">
        <v>452</v>
      </c>
    </row>
    <row r="337" spans="1:23" x14ac:dyDescent="0.2">
      <c r="A337" s="9" t="s">
        <v>920</v>
      </c>
      <c r="B337" s="9">
        <f ca="1">+IF(A337=WORLDCUP!$BI$112,1,0)</f>
        <v>0</v>
      </c>
      <c r="C337" s="9" t="str">
        <f ca="1">+WORLDCUP!BD62</f>
        <v>Ivory Coast</v>
      </c>
      <c r="D337" s="9" t="str">
        <f ca="1">+WORLDCUP!BD67</f>
        <v>Austria</v>
      </c>
      <c r="E337" s="9" t="str">
        <f ca="1">+WORLDCUP!BD59</f>
        <v>Qatar</v>
      </c>
      <c r="F337" s="9" t="str">
        <f ca="1">+WORLDCUP!BD61</f>
        <v>Australia</v>
      </c>
      <c r="G337" s="9" t="str">
        <f ca="1">+WORLDCUP!BD58</f>
        <v>South Korea</v>
      </c>
      <c r="H337" s="9" t="str">
        <f ca="1">+WORLDCUP!BD65</f>
        <v>Saudi Arabia</v>
      </c>
      <c r="I337" s="9" t="str">
        <f ca="1">+WORLDCUP!BD69</f>
        <v>Ghana</v>
      </c>
      <c r="J337" s="9" t="str">
        <f ca="1">+WORLDCUP!BD68</f>
        <v>Uzbekistan</v>
      </c>
      <c r="N337" s="16" t="s">
        <v>920</v>
      </c>
      <c r="O337" s="16">
        <v>336</v>
      </c>
      <c r="P337" s="16" t="s">
        <v>94</v>
      </c>
      <c r="Q337" s="16" t="s">
        <v>451</v>
      </c>
      <c r="R337" s="16" t="s">
        <v>91</v>
      </c>
      <c r="S337" s="16" t="s">
        <v>93</v>
      </c>
      <c r="T337" s="16" t="s">
        <v>90</v>
      </c>
      <c r="U337" s="16" t="s">
        <v>446</v>
      </c>
      <c r="V337" s="16" t="s">
        <v>453</v>
      </c>
      <c r="W337" s="16" t="s">
        <v>452</v>
      </c>
    </row>
    <row r="338" spans="1:23" x14ac:dyDescent="0.2">
      <c r="A338" s="9" t="s">
        <v>919</v>
      </c>
      <c r="B338" s="9">
        <f ca="1">+IF(A338=WORLDCUP!$BI$112,1,0)</f>
        <v>0</v>
      </c>
      <c r="C338" s="9" t="str">
        <f ca="1">+WORLDCUP!BD62</f>
        <v>Ivory Coast</v>
      </c>
      <c r="D338" s="9" t="str">
        <f ca="1">+WORLDCUP!BD66</f>
        <v>Iraq</v>
      </c>
      <c r="E338" s="9" t="str">
        <f ca="1">+WORLDCUP!BD59</f>
        <v>Qatar</v>
      </c>
      <c r="F338" s="9" t="str">
        <f ca="1">+WORLDCUP!BD61</f>
        <v>Australia</v>
      </c>
      <c r="G338" s="9" t="str">
        <f ca="1">+WORLDCUP!BD58</f>
        <v>South Korea</v>
      </c>
      <c r="H338" s="9" t="str">
        <f ca="1">+WORLDCUP!BD65</f>
        <v>Saudi Arabia</v>
      </c>
      <c r="I338" s="9" t="str">
        <f ca="1">+WORLDCUP!BD69</f>
        <v>Ghana</v>
      </c>
      <c r="J338" s="9" t="str">
        <f ca="1">+WORLDCUP!BD68</f>
        <v>Uzbekistan</v>
      </c>
      <c r="N338" s="16" t="s">
        <v>919</v>
      </c>
      <c r="O338" s="16">
        <v>337</v>
      </c>
      <c r="P338" s="16" t="s">
        <v>94</v>
      </c>
      <c r="Q338" s="16" t="s">
        <v>450</v>
      </c>
      <c r="R338" s="16" t="s">
        <v>91</v>
      </c>
      <c r="S338" s="16" t="s">
        <v>93</v>
      </c>
      <c r="T338" s="16" t="s">
        <v>90</v>
      </c>
      <c r="U338" s="16" t="s">
        <v>446</v>
      </c>
      <c r="V338" s="16" t="s">
        <v>453</v>
      </c>
      <c r="W338" s="16" t="s">
        <v>452</v>
      </c>
    </row>
    <row r="339" spans="1:23" x14ac:dyDescent="0.2">
      <c r="A339" s="9" t="s">
        <v>918</v>
      </c>
      <c r="B339" s="9">
        <f ca="1">+IF(A339=WORLDCUP!$BI$112,1,0)</f>
        <v>0</v>
      </c>
      <c r="C339" s="9" t="str">
        <f ca="1">+WORLDCUP!BD62</f>
        <v>Ivory Coast</v>
      </c>
      <c r="D339" s="9" t="str">
        <f ca="1">+WORLDCUP!BD67</f>
        <v>Austria</v>
      </c>
      <c r="E339" s="9" t="str">
        <f ca="1">+WORLDCUP!BD59</f>
        <v>Qatar</v>
      </c>
      <c r="F339" s="9" t="str">
        <f ca="1">+WORLDCUP!BD61</f>
        <v>Australia</v>
      </c>
      <c r="G339" s="9" t="str">
        <f ca="1">+WORLDCUP!BD58</f>
        <v>South Korea</v>
      </c>
      <c r="H339" s="9" t="str">
        <f ca="1">+WORLDCUP!BD65</f>
        <v>Saudi Arabia</v>
      </c>
      <c r="I339" s="9" t="str">
        <f ca="1">+WORLDCUP!BD69</f>
        <v>Ghana</v>
      </c>
      <c r="J339" s="9" t="str">
        <f ca="1">+WORLDCUP!BD66</f>
        <v>Iraq</v>
      </c>
      <c r="N339" s="16" t="s">
        <v>918</v>
      </c>
      <c r="O339" s="16">
        <v>338</v>
      </c>
      <c r="P339" s="16" t="s">
        <v>94</v>
      </c>
      <c r="Q339" s="16" t="s">
        <v>451</v>
      </c>
      <c r="R339" s="16" t="s">
        <v>91</v>
      </c>
      <c r="S339" s="16" t="s">
        <v>93</v>
      </c>
      <c r="T339" s="16" t="s">
        <v>90</v>
      </c>
      <c r="U339" s="16" t="s">
        <v>446</v>
      </c>
      <c r="V339" s="16" t="s">
        <v>453</v>
      </c>
      <c r="W339" s="16" t="s">
        <v>450</v>
      </c>
    </row>
    <row r="340" spans="1:23" x14ac:dyDescent="0.2">
      <c r="A340" s="9" t="s">
        <v>917</v>
      </c>
      <c r="B340" s="9">
        <f ca="1">+IF(A340=WORLDCUP!$BI$112,1,0)</f>
        <v>0</v>
      </c>
      <c r="C340" s="9" t="str">
        <f ca="1">+WORLDCUP!BD62</f>
        <v>Ivory Coast</v>
      </c>
      <c r="D340" s="9" t="str">
        <f ca="1">+WORLDCUP!BD67</f>
        <v>Austria</v>
      </c>
      <c r="E340" s="9" t="str">
        <f ca="1">+WORLDCUP!BD59</f>
        <v>Qatar</v>
      </c>
      <c r="F340" s="9" t="str">
        <f ca="1">+WORLDCUP!BD61</f>
        <v>Australia</v>
      </c>
      <c r="G340" s="9" t="str">
        <f ca="1">+WORLDCUP!BD58</f>
        <v>South Korea</v>
      </c>
      <c r="H340" s="9" t="str">
        <f ca="1">+WORLDCUP!BD65</f>
        <v>Saudi Arabia</v>
      </c>
      <c r="I340" s="9" t="str">
        <f ca="1">+WORLDCUP!BD66</f>
        <v>Iraq</v>
      </c>
      <c r="J340" s="9" t="str">
        <f ca="1">+WORLDCUP!BD68</f>
        <v>Uzbekistan</v>
      </c>
      <c r="N340" s="16" t="s">
        <v>917</v>
      </c>
      <c r="O340" s="16">
        <v>339</v>
      </c>
      <c r="P340" s="16" t="s">
        <v>94</v>
      </c>
      <c r="Q340" s="16" t="s">
        <v>451</v>
      </c>
      <c r="R340" s="16" t="s">
        <v>91</v>
      </c>
      <c r="S340" s="16" t="s">
        <v>93</v>
      </c>
      <c r="T340" s="16" t="s">
        <v>90</v>
      </c>
      <c r="U340" s="16" t="s">
        <v>446</v>
      </c>
      <c r="V340" s="16" t="s">
        <v>450</v>
      </c>
      <c r="W340" s="16" t="s">
        <v>452</v>
      </c>
    </row>
    <row r="341" spans="1:23" x14ac:dyDescent="0.2">
      <c r="A341" s="9" t="s">
        <v>916</v>
      </c>
      <c r="B341" s="9">
        <f ca="1">+IF(A341=WORLDCUP!$BI$112,1,0)</f>
        <v>0</v>
      </c>
      <c r="C341" s="9" t="str">
        <f ca="1">+WORLDCUP!BD62</f>
        <v>Ivory Coast</v>
      </c>
      <c r="D341" s="9" t="str">
        <f ca="1">+WORLDCUP!BD67</f>
        <v>Austria</v>
      </c>
      <c r="E341" s="9" t="str">
        <f ca="1">+WORLDCUP!BD59</f>
        <v>Qatar</v>
      </c>
      <c r="F341" s="9" t="str">
        <f ca="1">+WORLDCUP!BD61</f>
        <v>Australia</v>
      </c>
      <c r="G341" s="9" t="str">
        <f ca="1">+WORLDCUP!BD58</f>
        <v>South Korea</v>
      </c>
      <c r="H341" s="9" t="str">
        <f ca="1">+WORLDCUP!BD64</f>
        <v>Iran</v>
      </c>
      <c r="I341" s="9" t="str">
        <f ca="1">+WORLDCUP!BD69</f>
        <v>Ghana</v>
      </c>
      <c r="J341" s="9" t="str">
        <f ca="1">+WORLDCUP!BD68</f>
        <v>Uzbekistan</v>
      </c>
      <c r="N341" s="16" t="s">
        <v>916</v>
      </c>
      <c r="O341" s="16">
        <v>340</v>
      </c>
      <c r="P341" s="16" t="s">
        <v>94</v>
      </c>
      <c r="Q341" s="16" t="s">
        <v>451</v>
      </c>
      <c r="R341" s="16" t="s">
        <v>91</v>
      </c>
      <c r="S341" s="16" t="s">
        <v>93</v>
      </c>
      <c r="T341" s="16" t="s">
        <v>90</v>
      </c>
      <c r="U341" s="16" t="s">
        <v>445</v>
      </c>
      <c r="V341" s="16" t="s">
        <v>453</v>
      </c>
      <c r="W341" s="16" t="s">
        <v>452</v>
      </c>
    </row>
    <row r="342" spans="1:23" x14ac:dyDescent="0.2">
      <c r="A342" s="9" t="s">
        <v>915</v>
      </c>
      <c r="B342" s="9">
        <f ca="1">+IF(A342=WORLDCUP!$BI$112,1,0)</f>
        <v>0</v>
      </c>
      <c r="C342" s="9" t="str">
        <f ca="1">+WORLDCUP!BD62</f>
        <v>Ivory Coast</v>
      </c>
      <c r="D342" s="9" t="str">
        <f ca="1">+WORLDCUP!BD64</f>
        <v>Iran</v>
      </c>
      <c r="E342" s="9" t="str">
        <f ca="1">+WORLDCUP!BD59</f>
        <v>Qatar</v>
      </c>
      <c r="F342" s="9" t="str">
        <f ca="1">+WORLDCUP!BD58</f>
        <v>South Korea</v>
      </c>
      <c r="G342" s="9" t="str">
        <f ca="1">+WORLDCUP!BD66</f>
        <v>Iraq</v>
      </c>
      <c r="H342" s="9" t="str">
        <f ca="1">+WORLDCUP!BD61</f>
        <v>Australia</v>
      </c>
      <c r="I342" s="9" t="str">
        <f ca="1">+WORLDCUP!BD69</f>
        <v>Ghana</v>
      </c>
      <c r="J342" s="9" t="str">
        <f ca="1">+WORLDCUP!BD68</f>
        <v>Uzbekistan</v>
      </c>
      <c r="N342" s="16" t="s">
        <v>915</v>
      </c>
      <c r="O342" s="16">
        <v>341</v>
      </c>
      <c r="P342" s="16" t="s">
        <v>94</v>
      </c>
      <c r="Q342" s="16" t="s">
        <v>445</v>
      </c>
      <c r="R342" s="16" t="s">
        <v>91</v>
      </c>
      <c r="S342" s="16" t="s">
        <v>90</v>
      </c>
      <c r="T342" s="16" t="s">
        <v>450</v>
      </c>
      <c r="U342" s="16" t="s">
        <v>93</v>
      </c>
      <c r="V342" s="16" t="s">
        <v>453</v>
      </c>
      <c r="W342" s="16" t="s">
        <v>452</v>
      </c>
    </row>
    <row r="343" spans="1:23" x14ac:dyDescent="0.2">
      <c r="A343" s="9" t="s">
        <v>914</v>
      </c>
      <c r="B343" s="9">
        <f ca="1">+IF(A343=WORLDCUP!$BI$112,1,0)</f>
        <v>0</v>
      </c>
      <c r="C343" s="9" t="str">
        <f ca="1">+WORLDCUP!BD62</f>
        <v>Ivory Coast</v>
      </c>
      <c r="D343" s="9" t="str">
        <f ca="1">+WORLDCUP!BD67</f>
        <v>Austria</v>
      </c>
      <c r="E343" s="9" t="str">
        <f ca="1">+WORLDCUP!BD59</f>
        <v>Qatar</v>
      </c>
      <c r="F343" s="9" t="str">
        <f ca="1">+WORLDCUP!BD61</f>
        <v>Australia</v>
      </c>
      <c r="G343" s="9" t="str">
        <f ca="1">+WORLDCUP!BD58</f>
        <v>South Korea</v>
      </c>
      <c r="H343" s="9" t="str">
        <f ca="1">+WORLDCUP!BD64</f>
        <v>Iran</v>
      </c>
      <c r="I343" s="9" t="str">
        <f ca="1">+WORLDCUP!BD69</f>
        <v>Ghana</v>
      </c>
      <c r="J343" s="9" t="str">
        <f ca="1">+WORLDCUP!BD66</f>
        <v>Iraq</v>
      </c>
      <c r="N343" s="16" t="s">
        <v>914</v>
      </c>
      <c r="O343" s="16">
        <v>342</v>
      </c>
      <c r="P343" s="16" t="s">
        <v>94</v>
      </c>
      <c r="Q343" s="16" t="s">
        <v>451</v>
      </c>
      <c r="R343" s="16" t="s">
        <v>91</v>
      </c>
      <c r="S343" s="16" t="s">
        <v>93</v>
      </c>
      <c r="T343" s="16" t="s">
        <v>90</v>
      </c>
      <c r="U343" s="16" t="s">
        <v>445</v>
      </c>
      <c r="V343" s="16" t="s">
        <v>453</v>
      </c>
      <c r="W343" s="16" t="s">
        <v>450</v>
      </c>
    </row>
    <row r="344" spans="1:23" x14ac:dyDescent="0.2">
      <c r="A344" s="9" t="s">
        <v>913</v>
      </c>
      <c r="B344" s="9">
        <f ca="1">+IF(A344=WORLDCUP!$BI$112,1,0)</f>
        <v>0</v>
      </c>
      <c r="C344" s="9" t="str">
        <f ca="1">+WORLDCUP!BD62</f>
        <v>Ivory Coast</v>
      </c>
      <c r="D344" s="9" t="str">
        <f ca="1">+WORLDCUP!BD67</f>
        <v>Austria</v>
      </c>
      <c r="E344" s="9" t="str">
        <f ca="1">+WORLDCUP!BD59</f>
        <v>Qatar</v>
      </c>
      <c r="F344" s="9" t="str">
        <f ca="1">+WORLDCUP!BD61</f>
        <v>Australia</v>
      </c>
      <c r="G344" s="9" t="str">
        <f ca="1">+WORLDCUP!BD58</f>
        <v>South Korea</v>
      </c>
      <c r="H344" s="9" t="str">
        <f ca="1">+WORLDCUP!BD64</f>
        <v>Iran</v>
      </c>
      <c r="I344" s="9" t="str">
        <f ca="1">+WORLDCUP!BD66</f>
        <v>Iraq</v>
      </c>
      <c r="J344" s="9" t="str">
        <f ca="1">+WORLDCUP!BD68</f>
        <v>Uzbekistan</v>
      </c>
      <c r="N344" s="16" t="s">
        <v>913</v>
      </c>
      <c r="O344" s="16">
        <v>343</v>
      </c>
      <c r="P344" s="16" t="s">
        <v>94</v>
      </c>
      <c r="Q344" s="16" t="s">
        <v>451</v>
      </c>
      <c r="R344" s="16" t="s">
        <v>91</v>
      </c>
      <c r="S344" s="16" t="s">
        <v>93</v>
      </c>
      <c r="T344" s="16" t="s">
        <v>90</v>
      </c>
      <c r="U344" s="16" t="s">
        <v>445</v>
      </c>
      <c r="V344" s="16" t="s">
        <v>450</v>
      </c>
      <c r="W344" s="16" t="s">
        <v>452</v>
      </c>
    </row>
    <row r="345" spans="1:23" x14ac:dyDescent="0.2">
      <c r="A345" s="9" t="s">
        <v>912</v>
      </c>
      <c r="B345" s="9">
        <f ca="1">+IF(A345=WORLDCUP!$BI$112,1,0)</f>
        <v>0</v>
      </c>
      <c r="C345" s="9" t="str">
        <f ca="1">+WORLDCUP!BD62</f>
        <v>Ivory Coast</v>
      </c>
      <c r="D345" s="9" t="str">
        <f ca="1">+WORLDCUP!BD64</f>
        <v>Iran</v>
      </c>
      <c r="E345" s="9" t="str">
        <f ca="1">+WORLDCUP!BD59</f>
        <v>Qatar</v>
      </c>
      <c r="F345" s="9" t="str">
        <f ca="1">+WORLDCUP!BD61</f>
        <v>Australia</v>
      </c>
      <c r="G345" s="9" t="str">
        <f ca="1">+WORLDCUP!BD58</f>
        <v>South Korea</v>
      </c>
      <c r="H345" s="9" t="str">
        <f ca="1">+WORLDCUP!BD65</f>
        <v>Saudi Arabia</v>
      </c>
      <c r="I345" s="9" t="str">
        <f ca="1">+WORLDCUP!BD69</f>
        <v>Ghana</v>
      </c>
      <c r="J345" s="9" t="str">
        <f ca="1">+WORLDCUP!BD68</f>
        <v>Uzbekistan</v>
      </c>
      <c r="N345" s="16" t="s">
        <v>912</v>
      </c>
      <c r="O345" s="16">
        <v>344</v>
      </c>
      <c r="P345" s="16" t="s">
        <v>94</v>
      </c>
      <c r="Q345" s="16" t="s">
        <v>445</v>
      </c>
      <c r="R345" s="16" t="s">
        <v>91</v>
      </c>
      <c r="S345" s="16" t="s">
        <v>93</v>
      </c>
      <c r="T345" s="16" t="s">
        <v>90</v>
      </c>
      <c r="U345" s="16" t="s">
        <v>446</v>
      </c>
      <c r="V345" s="16" t="s">
        <v>453</v>
      </c>
      <c r="W345" s="16" t="s">
        <v>452</v>
      </c>
    </row>
    <row r="346" spans="1:23" x14ac:dyDescent="0.2">
      <c r="A346" s="9" t="s">
        <v>911</v>
      </c>
      <c r="B346" s="9">
        <f ca="1">+IF(A346=WORLDCUP!$BI$112,1,0)</f>
        <v>0</v>
      </c>
      <c r="C346" s="9" t="str">
        <f ca="1">+WORLDCUP!BD65</f>
        <v>Saudi Arabia</v>
      </c>
      <c r="D346" s="9" t="str">
        <f ca="1">+WORLDCUP!BD67</f>
        <v>Austria</v>
      </c>
      <c r="E346" s="9" t="str">
        <f ca="1">+WORLDCUP!BD59</f>
        <v>Qatar</v>
      </c>
      <c r="F346" s="9" t="str">
        <f ca="1">+WORLDCUP!BD61</f>
        <v>Australia</v>
      </c>
      <c r="G346" s="9" t="str">
        <f ca="1">+WORLDCUP!BD58</f>
        <v>South Korea</v>
      </c>
      <c r="H346" s="9" t="str">
        <f ca="1">+WORLDCUP!BD64</f>
        <v>Iran</v>
      </c>
      <c r="I346" s="9" t="str">
        <f ca="1">+WORLDCUP!BD69</f>
        <v>Ghana</v>
      </c>
      <c r="J346" s="9" t="str">
        <f ca="1">+WORLDCUP!BD62</f>
        <v>Ivory Coast</v>
      </c>
      <c r="N346" s="16" t="s">
        <v>911</v>
      </c>
      <c r="O346" s="16">
        <v>345</v>
      </c>
      <c r="P346" s="16" t="s">
        <v>446</v>
      </c>
      <c r="Q346" s="16" t="s">
        <v>451</v>
      </c>
      <c r="R346" s="16" t="s">
        <v>91</v>
      </c>
      <c r="S346" s="16" t="s">
        <v>93</v>
      </c>
      <c r="T346" s="16" t="s">
        <v>90</v>
      </c>
      <c r="U346" s="16" t="s">
        <v>445</v>
      </c>
      <c r="V346" s="16" t="s">
        <v>453</v>
      </c>
      <c r="W346" s="16" t="s">
        <v>94</v>
      </c>
    </row>
    <row r="347" spans="1:23" x14ac:dyDescent="0.2">
      <c r="A347" s="9" t="s">
        <v>910</v>
      </c>
      <c r="B347" s="9">
        <f ca="1">+IF(A347=WORLDCUP!$BI$112,1,0)</f>
        <v>0</v>
      </c>
      <c r="C347" s="9" t="str">
        <f ca="1">+WORLDCUP!BD65</f>
        <v>Saudi Arabia</v>
      </c>
      <c r="D347" s="9" t="str">
        <f ca="1">+WORLDCUP!BD67</f>
        <v>Austria</v>
      </c>
      <c r="E347" s="9" t="str">
        <f ca="1">+WORLDCUP!BD59</f>
        <v>Qatar</v>
      </c>
      <c r="F347" s="9" t="str">
        <f ca="1">+WORLDCUP!BD61</f>
        <v>Australia</v>
      </c>
      <c r="G347" s="9" t="str">
        <f ca="1">+WORLDCUP!BD58</f>
        <v>South Korea</v>
      </c>
      <c r="H347" s="9" t="str">
        <f ca="1">+WORLDCUP!BD64</f>
        <v>Iran</v>
      </c>
      <c r="I347" s="9" t="str">
        <f ca="1">+WORLDCUP!BD62</f>
        <v>Ivory Coast</v>
      </c>
      <c r="J347" s="9" t="str">
        <f ca="1">+WORLDCUP!BD68</f>
        <v>Uzbekistan</v>
      </c>
      <c r="N347" s="16" t="s">
        <v>910</v>
      </c>
      <c r="O347" s="16">
        <v>346</v>
      </c>
      <c r="P347" s="16" t="s">
        <v>446</v>
      </c>
      <c r="Q347" s="16" t="s">
        <v>451</v>
      </c>
      <c r="R347" s="16" t="s">
        <v>91</v>
      </c>
      <c r="S347" s="16" t="s">
        <v>93</v>
      </c>
      <c r="T347" s="16" t="s">
        <v>90</v>
      </c>
      <c r="U347" s="16" t="s">
        <v>445</v>
      </c>
      <c r="V347" s="16" t="s">
        <v>94</v>
      </c>
      <c r="W347" s="16" t="s">
        <v>452</v>
      </c>
    </row>
    <row r="348" spans="1:23" x14ac:dyDescent="0.2">
      <c r="A348" s="9" t="s">
        <v>909</v>
      </c>
      <c r="B348" s="9">
        <f ca="1">+IF(A348=WORLDCUP!$BI$112,1,0)</f>
        <v>0</v>
      </c>
      <c r="C348" s="9" t="str">
        <f ca="1">+WORLDCUP!BD62</f>
        <v>Ivory Coast</v>
      </c>
      <c r="D348" s="9" t="str">
        <f ca="1">+WORLDCUP!BD64</f>
        <v>Iran</v>
      </c>
      <c r="E348" s="9" t="str">
        <f ca="1">+WORLDCUP!BD59</f>
        <v>Qatar</v>
      </c>
      <c r="F348" s="9" t="str">
        <f ca="1">+WORLDCUP!BD61</f>
        <v>Australia</v>
      </c>
      <c r="G348" s="9" t="str">
        <f ca="1">+WORLDCUP!BD58</f>
        <v>South Korea</v>
      </c>
      <c r="H348" s="9" t="str">
        <f ca="1">+WORLDCUP!BD65</f>
        <v>Saudi Arabia</v>
      </c>
      <c r="I348" s="9" t="str">
        <f ca="1">+WORLDCUP!BD69</f>
        <v>Ghana</v>
      </c>
      <c r="J348" s="9" t="str">
        <f ca="1">+WORLDCUP!BD66</f>
        <v>Iraq</v>
      </c>
      <c r="N348" s="16" t="s">
        <v>909</v>
      </c>
      <c r="O348" s="16">
        <v>347</v>
      </c>
      <c r="P348" s="16" t="s">
        <v>94</v>
      </c>
      <c r="Q348" s="16" t="s">
        <v>445</v>
      </c>
      <c r="R348" s="16" t="s">
        <v>91</v>
      </c>
      <c r="S348" s="16" t="s">
        <v>93</v>
      </c>
      <c r="T348" s="16" t="s">
        <v>90</v>
      </c>
      <c r="U348" s="16" t="s">
        <v>446</v>
      </c>
      <c r="V348" s="16" t="s">
        <v>453</v>
      </c>
      <c r="W348" s="16" t="s">
        <v>450</v>
      </c>
    </row>
    <row r="349" spans="1:23" x14ac:dyDescent="0.2">
      <c r="A349" s="9" t="s">
        <v>908</v>
      </c>
      <c r="B349" s="9">
        <f ca="1">+IF(A349=WORLDCUP!$BI$112,1,0)</f>
        <v>0</v>
      </c>
      <c r="C349" s="9" t="str">
        <f ca="1">+WORLDCUP!BD62</f>
        <v>Ivory Coast</v>
      </c>
      <c r="D349" s="9" t="str">
        <f ca="1">+WORLDCUP!BD64</f>
        <v>Iran</v>
      </c>
      <c r="E349" s="9" t="str">
        <f ca="1">+WORLDCUP!BD59</f>
        <v>Qatar</v>
      </c>
      <c r="F349" s="9" t="str">
        <f ca="1">+WORLDCUP!BD61</f>
        <v>Australia</v>
      </c>
      <c r="G349" s="9" t="str">
        <f ca="1">+WORLDCUP!BD58</f>
        <v>South Korea</v>
      </c>
      <c r="H349" s="9" t="str">
        <f ca="1">+WORLDCUP!BD65</f>
        <v>Saudi Arabia</v>
      </c>
      <c r="I349" s="9" t="str">
        <f ca="1">+WORLDCUP!BD66</f>
        <v>Iraq</v>
      </c>
      <c r="J349" s="9" t="str">
        <f ca="1">+WORLDCUP!BD68</f>
        <v>Uzbekistan</v>
      </c>
      <c r="N349" s="16" t="s">
        <v>908</v>
      </c>
      <c r="O349" s="16">
        <v>348</v>
      </c>
      <c r="P349" s="16" t="s">
        <v>94</v>
      </c>
      <c r="Q349" s="16" t="s">
        <v>445</v>
      </c>
      <c r="R349" s="16" t="s">
        <v>91</v>
      </c>
      <c r="S349" s="16" t="s">
        <v>93</v>
      </c>
      <c r="T349" s="16" t="s">
        <v>90</v>
      </c>
      <c r="U349" s="16" t="s">
        <v>446</v>
      </c>
      <c r="V349" s="16" t="s">
        <v>450</v>
      </c>
      <c r="W349" s="16" t="s">
        <v>452</v>
      </c>
    </row>
    <row r="350" spans="1:23" x14ac:dyDescent="0.2">
      <c r="A350" s="9" t="s">
        <v>907</v>
      </c>
      <c r="B350" s="9">
        <f ca="1">+IF(A350=WORLDCUP!$BI$112,1,0)</f>
        <v>0</v>
      </c>
      <c r="C350" s="9" t="str">
        <f ca="1">+WORLDCUP!BD65</f>
        <v>Saudi Arabia</v>
      </c>
      <c r="D350" s="9" t="str">
        <f ca="1">+WORLDCUP!BD67</f>
        <v>Austria</v>
      </c>
      <c r="E350" s="9" t="str">
        <f ca="1">+WORLDCUP!BD59</f>
        <v>Qatar</v>
      </c>
      <c r="F350" s="9" t="str">
        <f ca="1">+WORLDCUP!BD61</f>
        <v>Australia</v>
      </c>
      <c r="G350" s="9" t="str">
        <f ca="1">+WORLDCUP!BD58</f>
        <v>South Korea</v>
      </c>
      <c r="H350" s="9" t="str">
        <f ca="1">+WORLDCUP!BD64</f>
        <v>Iran</v>
      </c>
      <c r="I350" s="9" t="str">
        <f ca="1">+WORLDCUP!BD62</f>
        <v>Ivory Coast</v>
      </c>
      <c r="J350" s="9" t="str">
        <f ca="1">+WORLDCUP!BD66</f>
        <v>Iraq</v>
      </c>
      <c r="N350" s="16" t="s">
        <v>907</v>
      </c>
      <c r="O350" s="16">
        <v>349</v>
      </c>
      <c r="P350" s="16" t="s">
        <v>446</v>
      </c>
      <c r="Q350" s="16" t="s">
        <v>451</v>
      </c>
      <c r="R350" s="16" t="s">
        <v>91</v>
      </c>
      <c r="S350" s="16" t="s">
        <v>93</v>
      </c>
      <c r="T350" s="16" t="s">
        <v>90</v>
      </c>
      <c r="U350" s="16" t="s">
        <v>445</v>
      </c>
      <c r="V350" s="16" t="s">
        <v>94</v>
      </c>
      <c r="W350" s="16" t="s">
        <v>450</v>
      </c>
    </row>
    <row r="351" spans="1:23" x14ac:dyDescent="0.2">
      <c r="A351" s="9" t="s">
        <v>906</v>
      </c>
      <c r="B351" s="9">
        <f ca="1">+IF(A351=WORLDCUP!$BI$112,1,0)</f>
        <v>0</v>
      </c>
      <c r="C351" s="9" t="str">
        <f ca="1">+WORLDCUP!BD62</f>
        <v>Ivory Coast</v>
      </c>
      <c r="D351" s="9" t="str">
        <f ca="1">+WORLDCUP!BD67</f>
        <v>Austria</v>
      </c>
      <c r="E351" s="9" t="str">
        <f ca="1">+WORLDCUP!BD59</f>
        <v>Qatar</v>
      </c>
      <c r="F351" s="9" t="str">
        <f ca="1">+WORLDCUP!BD61</f>
        <v>Australia</v>
      </c>
      <c r="G351" s="9" t="str">
        <f ca="1">+WORLDCUP!BD58</f>
        <v>South Korea</v>
      </c>
      <c r="H351" s="9" t="str">
        <f ca="1">+WORLDCUP!BD63</f>
        <v>Sweden</v>
      </c>
      <c r="I351" s="9" t="str">
        <f ca="1">+WORLDCUP!BD69</f>
        <v>Ghana</v>
      </c>
      <c r="J351" s="9" t="str">
        <f ca="1">+WORLDCUP!BD68</f>
        <v>Uzbekistan</v>
      </c>
      <c r="N351" s="16" t="s">
        <v>906</v>
      </c>
      <c r="O351" s="16">
        <v>350</v>
      </c>
      <c r="P351" s="16" t="s">
        <v>94</v>
      </c>
      <c r="Q351" s="16" t="s">
        <v>451</v>
      </c>
      <c r="R351" s="16" t="s">
        <v>91</v>
      </c>
      <c r="S351" s="16" t="s">
        <v>93</v>
      </c>
      <c r="T351" s="16" t="s">
        <v>90</v>
      </c>
      <c r="U351" s="16" t="s">
        <v>95</v>
      </c>
      <c r="V351" s="16" t="s">
        <v>453</v>
      </c>
      <c r="W351" s="16" t="s">
        <v>452</v>
      </c>
    </row>
    <row r="352" spans="1:23" x14ac:dyDescent="0.2">
      <c r="A352" s="9" t="s">
        <v>905</v>
      </c>
      <c r="B352" s="9">
        <f ca="1">+IF(A352=WORLDCUP!$BI$112,1,0)</f>
        <v>0</v>
      </c>
      <c r="C352" s="9" t="str">
        <f ca="1">+WORLDCUP!BD62</f>
        <v>Ivory Coast</v>
      </c>
      <c r="D352" s="9" t="str">
        <f ca="1">+WORLDCUP!BD66</f>
        <v>Iraq</v>
      </c>
      <c r="E352" s="9" t="str">
        <f ca="1">+WORLDCUP!BD59</f>
        <v>Qatar</v>
      </c>
      <c r="F352" s="9" t="str">
        <f ca="1">+WORLDCUP!BD61</f>
        <v>Australia</v>
      </c>
      <c r="G352" s="9" t="str">
        <f ca="1">+WORLDCUP!BD58</f>
        <v>South Korea</v>
      </c>
      <c r="H352" s="9" t="str">
        <f ca="1">+WORLDCUP!BD63</f>
        <v>Sweden</v>
      </c>
      <c r="I352" s="9" t="str">
        <f ca="1">+WORLDCUP!BD69</f>
        <v>Ghana</v>
      </c>
      <c r="J352" s="9" t="str">
        <f ca="1">+WORLDCUP!BD68</f>
        <v>Uzbekistan</v>
      </c>
      <c r="N352" s="16" t="s">
        <v>905</v>
      </c>
      <c r="O352" s="16">
        <v>351</v>
      </c>
      <c r="P352" s="16" t="s">
        <v>94</v>
      </c>
      <c r="Q352" s="16" t="s">
        <v>450</v>
      </c>
      <c r="R352" s="16" t="s">
        <v>91</v>
      </c>
      <c r="S352" s="16" t="s">
        <v>93</v>
      </c>
      <c r="T352" s="16" t="s">
        <v>90</v>
      </c>
      <c r="U352" s="16" t="s">
        <v>95</v>
      </c>
      <c r="V352" s="16" t="s">
        <v>453</v>
      </c>
      <c r="W352" s="16" t="s">
        <v>452</v>
      </c>
    </row>
    <row r="353" spans="1:23" x14ac:dyDescent="0.2">
      <c r="A353" s="9" t="s">
        <v>904</v>
      </c>
      <c r="B353" s="9">
        <f ca="1">+IF(A353=WORLDCUP!$BI$112,1,0)</f>
        <v>0</v>
      </c>
      <c r="C353" s="9" t="str">
        <f ca="1">+WORLDCUP!BD62</f>
        <v>Ivory Coast</v>
      </c>
      <c r="D353" s="9" t="str">
        <f ca="1">+WORLDCUP!BD67</f>
        <v>Austria</v>
      </c>
      <c r="E353" s="9" t="str">
        <f ca="1">+WORLDCUP!BD59</f>
        <v>Qatar</v>
      </c>
      <c r="F353" s="9" t="str">
        <f ca="1">+WORLDCUP!BD61</f>
        <v>Australia</v>
      </c>
      <c r="G353" s="9" t="str">
        <f ca="1">+WORLDCUP!BD58</f>
        <v>South Korea</v>
      </c>
      <c r="H353" s="9" t="str">
        <f ca="1">+WORLDCUP!BD63</f>
        <v>Sweden</v>
      </c>
      <c r="I353" s="9" t="str">
        <f ca="1">+WORLDCUP!BD69</f>
        <v>Ghana</v>
      </c>
      <c r="J353" s="9" t="str">
        <f ca="1">+WORLDCUP!BD66</f>
        <v>Iraq</v>
      </c>
      <c r="N353" s="16" t="s">
        <v>904</v>
      </c>
      <c r="O353" s="16">
        <v>352</v>
      </c>
      <c r="P353" s="16" t="s">
        <v>94</v>
      </c>
      <c r="Q353" s="16" t="s">
        <v>451</v>
      </c>
      <c r="R353" s="16" t="s">
        <v>91</v>
      </c>
      <c r="S353" s="16" t="s">
        <v>93</v>
      </c>
      <c r="T353" s="16" t="s">
        <v>90</v>
      </c>
      <c r="U353" s="16" t="s">
        <v>95</v>
      </c>
      <c r="V353" s="16" t="s">
        <v>453</v>
      </c>
      <c r="W353" s="16" t="s">
        <v>450</v>
      </c>
    </row>
    <row r="354" spans="1:23" x14ac:dyDescent="0.2">
      <c r="A354" s="9" t="s">
        <v>903</v>
      </c>
      <c r="B354" s="9">
        <f ca="1">+IF(A354=WORLDCUP!$BI$112,1,0)</f>
        <v>0</v>
      </c>
      <c r="C354" s="9" t="str">
        <f ca="1">+WORLDCUP!BD62</f>
        <v>Ivory Coast</v>
      </c>
      <c r="D354" s="9" t="str">
        <f ca="1">+WORLDCUP!BD67</f>
        <v>Austria</v>
      </c>
      <c r="E354" s="9" t="str">
        <f ca="1">+WORLDCUP!BD59</f>
        <v>Qatar</v>
      </c>
      <c r="F354" s="9" t="str">
        <f ca="1">+WORLDCUP!BD61</f>
        <v>Australia</v>
      </c>
      <c r="G354" s="9" t="str">
        <f ca="1">+WORLDCUP!BD58</f>
        <v>South Korea</v>
      </c>
      <c r="H354" s="9" t="str">
        <f ca="1">+WORLDCUP!BD63</f>
        <v>Sweden</v>
      </c>
      <c r="I354" s="9" t="str">
        <f ca="1">+WORLDCUP!BD66</f>
        <v>Iraq</v>
      </c>
      <c r="J354" s="9" t="str">
        <f ca="1">+WORLDCUP!BD68</f>
        <v>Uzbekistan</v>
      </c>
      <c r="N354" s="16" t="s">
        <v>903</v>
      </c>
      <c r="O354" s="16">
        <v>353</v>
      </c>
      <c r="P354" s="16" t="s">
        <v>94</v>
      </c>
      <c r="Q354" s="16" t="s">
        <v>451</v>
      </c>
      <c r="R354" s="16" t="s">
        <v>91</v>
      </c>
      <c r="S354" s="16" t="s">
        <v>93</v>
      </c>
      <c r="T354" s="16" t="s">
        <v>90</v>
      </c>
      <c r="U354" s="16" t="s">
        <v>95</v>
      </c>
      <c r="V354" s="16" t="s">
        <v>450</v>
      </c>
      <c r="W354" s="16" t="s">
        <v>452</v>
      </c>
    </row>
    <row r="355" spans="1:23" x14ac:dyDescent="0.2">
      <c r="A355" s="9" t="s">
        <v>902</v>
      </c>
      <c r="B355" s="9">
        <f ca="1">+IF(A355=WORLDCUP!$BI$112,1,0)</f>
        <v>0</v>
      </c>
      <c r="C355" s="9" t="str">
        <f ca="1">+WORLDCUP!BD65</f>
        <v>Saudi Arabia</v>
      </c>
      <c r="D355" s="9" t="str">
        <f ca="1">+WORLDCUP!BD62</f>
        <v>Ivory Coast</v>
      </c>
      <c r="E355" s="9" t="str">
        <f ca="1">+WORLDCUP!BD59</f>
        <v>Qatar</v>
      </c>
      <c r="F355" s="9" t="str">
        <f ca="1">+WORLDCUP!BD61</f>
        <v>Australia</v>
      </c>
      <c r="G355" s="9" t="str">
        <f ca="1">+WORLDCUP!BD58</f>
        <v>South Korea</v>
      </c>
      <c r="H355" s="9" t="str">
        <f ca="1">+WORLDCUP!BD63</f>
        <v>Sweden</v>
      </c>
      <c r="I355" s="9" t="str">
        <f ca="1">+WORLDCUP!BD69</f>
        <v>Ghana</v>
      </c>
      <c r="J355" s="9" t="str">
        <f ca="1">+WORLDCUP!BD68</f>
        <v>Uzbekistan</v>
      </c>
      <c r="N355" s="16" t="s">
        <v>902</v>
      </c>
      <c r="O355" s="16">
        <v>354</v>
      </c>
      <c r="P355" s="16" t="s">
        <v>446</v>
      </c>
      <c r="Q355" s="16" t="s">
        <v>94</v>
      </c>
      <c r="R355" s="16" t="s">
        <v>91</v>
      </c>
      <c r="S355" s="16" t="s">
        <v>93</v>
      </c>
      <c r="T355" s="16" t="s">
        <v>90</v>
      </c>
      <c r="U355" s="16" t="s">
        <v>95</v>
      </c>
      <c r="V355" s="16" t="s">
        <v>453</v>
      </c>
      <c r="W355" s="16" t="s">
        <v>452</v>
      </c>
    </row>
    <row r="356" spans="1:23" x14ac:dyDescent="0.2">
      <c r="A356" s="9" t="s">
        <v>901</v>
      </c>
      <c r="B356" s="9">
        <f ca="1">+IF(A356=WORLDCUP!$BI$112,1,0)</f>
        <v>0</v>
      </c>
      <c r="C356" s="9" t="str">
        <f ca="1">+WORLDCUP!BD65</f>
        <v>Saudi Arabia</v>
      </c>
      <c r="D356" s="9" t="str">
        <f ca="1">+WORLDCUP!BD67</f>
        <v>Austria</v>
      </c>
      <c r="E356" s="9" t="str">
        <f ca="1">+WORLDCUP!BD59</f>
        <v>Qatar</v>
      </c>
      <c r="F356" s="9" t="str">
        <f ca="1">+WORLDCUP!BD61</f>
        <v>Australia</v>
      </c>
      <c r="G356" s="9" t="str">
        <f ca="1">+WORLDCUP!BD58</f>
        <v>South Korea</v>
      </c>
      <c r="H356" s="9" t="str">
        <f ca="1">+WORLDCUP!BD63</f>
        <v>Sweden</v>
      </c>
      <c r="I356" s="9" t="str">
        <f ca="1">+WORLDCUP!BD69</f>
        <v>Ghana</v>
      </c>
      <c r="J356" s="9" t="str">
        <f ca="1">+WORLDCUP!BD62</f>
        <v>Ivory Coast</v>
      </c>
      <c r="N356" s="16" t="s">
        <v>901</v>
      </c>
      <c r="O356" s="16">
        <v>355</v>
      </c>
      <c r="P356" s="16" t="s">
        <v>446</v>
      </c>
      <c r="Q356" s="16" t="s">
        <v>451</v>
      </c>
      <c r="R356" s="16" t="s">
        <v>91</v>
      </c>
      <c r="S356" s="16" t="s">
        <v>93</v>
      </c>
      <c r="T356" s="16" t="s">
        <v>90</v>
      </c>
      <c r="U356" s="16" t="s">
        <v>95</v>
      </c>
      <c r="V356" s="16" t="s">
        <v>453</v>
      </c>
      <c r="W356" s="16" t="s">
        <v>94</v>
      </c>
    </row>
    <row r="357" spans="1:23" x14ac:dyDescent="0.2">
      <c r="A357" s="9" t="s">
        <v>900</v>
      </c>
      <c r="B357" s="9">
        <f ca="1">+IF(A357=WORLDCUP!$BI$112,1,0)</f>
        <v>0</v>
      </c>
      <c r="C357" s="9" t="str">
        <f ca="1">+WORLDCUP!BD65</f>
        <v>Saudi Arabia</v>
      </c>
      <c r="D357" s="9" t="str">
        <f ca="1">+WORLDCUP!BD67</f>
        <v>Austria</v>
      </c>
      <c r="E357" s="9" t="str">
        <f ca="1">+WORLDCUP!BD59</f>
        <v>Qatar</v>
      </c>
      <c r="F357" s="9" t="str">
        <f ca="1">+WORLDCUP!BD61</f>
        <v>Australia</v>
      </c>
      <c r="G357" s="9" t="str">
        <f ca="1">+WORLDCUP!BD58</f>
        <v>South Korea</v>
      </c>
      <c r="H357" s="9" t="str">
        <f ca="1">+WORLDCUP!BD63</f>
        <v>Sweden</v>
      </c>
      <c r="I357" s="9" t="str">
        <f ca="1">+WORLDCUP!BD62</f>
        <v>Ivory Coast</v>
      </c>
      <c r="J357" s="9" t="str">
        <f ca="1">+WORLDCUP!BD68</f>
        <v>Uzbekistan</v>
      </c>
      <c r="N357" s="16" t="s">
        <v>900</v>
      </c>
      <c r="O357" s="16">
        <v>356</v>
      </c>
      <c r="P357" s="16" t="s">
        <v>446</v>
      </c>
      <c r="Q357" s="16" t="s">
        <v>451</v>
      </c>
      <c r="R357" s="16" t="s">
        <v>91</v>
      </c>
      <c r="S357" s="16" t="s">
        <v>93</v>
      </c>
      <c r="T357" s="16" t="s">
        <v>90</v>
      </c>
      <c r="U357" s="16" t="s">
        <v>95</v>
      </c>
      <c r="V357" s="16" t="s">
        <v>94</v>
      </c>
      <c r="W357" s="16" t="s">
        <v>452</v>
      </c>
    </row>
    <row r="358" spans="1:23" x14ac:dyDescent="0.2">
      <c r="A358" s="9" t="s">
        <v>899</v>
      </c>
      <c r="B358" s="9">
        <f ca="1">+IF(A358=WORLDCUP!$BI$112,1,0)</f>
        <v>0</v>
      </c>
      <c r="C358" s="9" t="str">
        <f ca="1">+WORLDCUP!BD65</f>
        <v>Saudi Arabia</v>
      </c>
      <c r="D358" s="9" t="str">
        <f ca="1">+WORLDCUP!BD62</f>
        <v>Ivory Coast</v>
      </c>
      <c r="E358" s="9" t="str">
        <f ca="1">+WORLDCUP!BD59</f>
        <v>Qatar</v>
      </c>
      <c r="F358" s="9" t="str">
        <f ca="1">+WORLDCUP!BD61</f>
        <v>Australia</v>
      </c>
      <c r="G358" s="9" t="str">
        <f ca="1">+WORLDCUP!BD58</f>
        <v>South Korea</v>
      </c>
      <c r="H358" s="9" t="str">
        <f ca="1">+WORLDCUP!BD63</f>
        <v>Sweden</v>
      </c>
      <c r="I358" s="9" t="str">
        <f ca="1">+WORLDCUP!BD69</f>
        <v>Ghana</v>
      </c>
      <c r="J358" s="9" t="str">
        <f ca="1">+WORLDCUP!BD66</f>
        <v>Iraq</v>
      </c>
      <c r="N358" s="16" t="s">
        <v>899</v>
      </c>
      <c r="O358" s="16">
        <v>357</v>
      </c>
      <c r="P358" s="16" t="s">
        <v>446</v>
      </c>
      <c r="Q358" s="16" t="s">
        <v>94</v>
      </c>
      <c r="R358" s="16" t="s">
        <v>91</v>
      </c>
      <c r="S358" s="16" t="s">
        <v>93</v>
      </c>
      <c r="T358" s="16" t="s">
        <v>90</v>
      </c>
      <c r="U358" s="16" t="s">
        <v>95</v>
      </c>
      <c r="V358" s="16" t="s">
        <v>453</v>
      </c>
      <c r="W358" s="16" t="s">
        <v>450</v>
      </c>
    </row>
    <row r="359" spans="1:23" x14ac:dyDescent="0.2">
      <c r="A359" s="9" t="s">
        <v>898</v>
      </c>
      <c r="B359" s="9">
        <f ca="1">+IF(A359=WORLDCUP!$BI$112,1,0)</f>
        <v>0</v>
      </c>
      <c r="C359" s="9" t="str">
        <f ca="1">+WORLDCUP!BD65</f>
        <v>Saudi Arabia</v>
      </c>
      <c r="D359" s="9" t="str">
        <f ca="1">+WORLDCUP!BD62</f>
        <v>Ivory Coast</v>
      </c>
      <c r="E359" s="9" t="str">
        <f ca="1">+WORLDCUP!BD59</f>
        <v>Qatar</v>
      </c>
      <c r="F359" s="9" t="str">
        <f ca="1">+WORLDCUP!BD61</f>
        <v>Australia</v>
      </c>
      <c r="G359" s="9" t="str">
        <f ca="1">+WORLDCUP!BD58</f>
        <v>South Korea</v>
      </c>
      <c r="H359" s="9" t="str">
        <f ca="1">+WORLDCUP!BD63</f>
        <v>Sweden</v>
      </c>
      <c r="I359" s="9" t="str">
        <f ca="1">+WORLDCUP!BD66</f>
        <v>Iraq</v>
      </c>
      <c r="J359" s="9" t="str">
        <f ca="1">+WORLDCUP!BD68</f>
        <v>Uzbekistan</v>
      </c>
      <c r="N359" s="16" t="s">
        <v>898</v>
      </c>
      <c r="O359" s="16">
        <v>358</v>
      </c>
      <c r="P359" s="16" t="s">
        <v>446</v>
      </c>
      <c r="Q359" s="16" t="s">
        <v>94</v>
      </c>
      <c r="R359" s="16" t="s">
        <v>91</v>
      </c>
      <c r="S359" s="16" t="s">
        <v>93</v>
      </c>
      <c r="T359" s="16" t="s">
        <v>90</v>
      </c>
      <c r="U359" s="16" t="s">
        <v>95</v>
      </c>
      <c r="V359" s="16" t="s">
        <v>450</v>
      </c>
      <c r="W359" s="16" t="s">
        <v>452</v>
      </c>
    </row>
    <row r="360" spans="1:23" x14ac:dyDescent="0.2">
      <c r="A360" s="9" t="s">
        <v>897</v>
      </c>
      <c r="B360" s="9">
        <f ca="1">+IF(A360=WORLDCUP!$BI$112,1,0)</f>
        <v>0</v>
      </c>
      <c r="C360" s="9" t="str">
        <f ca="1">+WORLDCUP!BD65</f>
        <v>Saudi Arabia</v>
      </c>
      <c r="D360" s="9" t="str">
        <f ca="1">+WORLDCUP!BD67</f>
        <v>Austria</v>
      </c>
      <c r="E360" s="9" t="str">
        <f ca="1">+WORLDCUP!BD59</f>
        <v>Qatar</v>
      </c>
      <c r="F360" s="9" t="str">
        <f ca="1">+WORLDCUP!BD61</f>
        <v>Australia</v>
      </c>
      <c r="G360" s="9" t="str">
        <f ca="1">+WORLDCUP!BD58</f>
        <v>South Korea</v>
      </c>
      <c r="H360" s="9" t="str">
        <f ca="1">+WORLDCUP!BD63</f>
        <v>Sweden</v>
      </c>
      <c r="I360" s="9" t="str">
        <f ca="1">+WORLDCUP!BD62</f>
        <v>Ivory Coast</v>
      </c>
      <c r="J360" s="9" t="str">
        <f ca="1">+WORLDCUP!BD66</f>
        <v>Iraq</v>
      </c>
      <c r="N360" s="16" t="s">
        <v>897</v>
      </c>
      <c r="O360" s="16">
        <v>359</v>
      </c>
      <c r="P360" s="16" t="s">
        <v>446</v>
      </c>
      <c r="Q360" s="16" t="s">
        <v>451</v>
      </c>
      <c r="R360" s="16" t="s">
        <v>91</v>
      </c>
      <c r="S360" s="16" t="s">
        <v>93</v>
      </c>
      <c r="T360" s="16" t="s">
        <v>90</v>
      </c>
      <c r="U360" s="16" t="s">
        <v>95</v>
      </c>
      <c r="V360" s="16" t="s">
        <v>94</v>
      </c>
      <c r="W360" s="16" t="s">
        <v>450</v>
      </c>
    </row>
    <row r="361" spans="1:23" x14ac:dyDescent="0.2">
      <c r="A361" s="9" t="s">
        <v>896</v>
      </c>
      <c r="B361" s="9">
        <f ca="1">+IF(A361=WORLDCUP!$BI$112,1,0)</f>
        <v>0</v>
      </c>
      <c r="C361" s="9" t="str">
        <f ca="1">+WORLDCUP!BD62</f>
        <v>Ivory Coast</v>
      </c>
      <c r="D361" s="9" t="str">
        <f ca="1">+WORLDCUP!BD64</f>
        <v>Iran</v>
      </c>
      <c r="E361" s="9" t="str">
        <f ca="1">+WORLDCUP!BD59</f>
        <v>Qatar</v>
      </c>
      <c r="F361" s="9" t="str">
        <f ca="1">+WORLDCUP!BD61</f>
        <v>Australia</v>
      </c>
      <c r="G361" s="9" t="str">
        <f ca="1">+WORLDCUP!BD58</f>
        <v>South Korea</v>
      </c>
      <c r="H361" s="9" t="str">
        <f ca="1">+WORLDCUP!BD63</f>
        <v>Sweden</v>
      </c>
      <c r="I361" s="9" t="str">
        <f ca="1">+WORLDCUP!BD69</f>
        <v>Ghana</v>
      </c>
      <c r="J361" s="9" t="str">
        <f ca="1">+WORLDCUP!BD68</f>
        <v>Uzbekistan</v>
      </c>
      <c r="N361" s="16" t="s">
        <v>896</v>
      </c>
      <c r="O361" s="16">
        <v>360</v>
      </c>
      <c r="P361" s="16" t="s">
        <v>94</v>
      </c>
      <c r="Q361" s="16" t="s">
        <v>445</v>
      </c>
      <c r="R361" s="16" t="s">
        <v>91</v>
      </c>
      <c r="S361" s="16" t="s">
        <v>93</v>
      </c>
      <c r="T361" s="16" t="s">
        <v>90</v>
      </c>
      <c r="U361" s="16" t="s">
        <v>95</v>
      </c>
      <c r="V361" s="16" t="s">
        <v>453</v>
      </c>
      <c r="W361" s="16" t="s">
        <v>452</v>
      </c>
    </row>
    <row r="362" spans="1:23" x14ac:dyDescent="0.2">
      <c r="A362" s="9" t="s">
        <v>895</v>
      </c>
      <c r="B362" s="9">
        <f ca="1">+IF(A362=WORLDCUP!$BI$112,1,0)</f>
        <v>0</v>
      </c>
      <c r="C362" s="9" t="str">
        <f ca="1">+WORLDCUP!BD62</f>
        <v>Ivory Coast</v>
      </c>
      <c r="D362" s="9" t="str">
        <f ca="1">+WORLDCUP!BD64</f>
        <v>Iran</v>
      </c>
      <c r="E362" s="9" t="str">
        <f ca="1">+WORLDCUP!BD59</f>
        <v>Qatar</v>
      </c>
      <c r="F362" s="9" t="str">
        <f ca="1">+WORLDCUP!BD61</f>
        <v>Australia</v>
      </c>
      <c r="G362" s="9" t="str">
        <f ca="1">+WORLDCUP!BD58</f>
        <v>South Korea</v>
      </c>
      <c r="H362" s="9" t="str">
        <f ca="1">+WORLDCUP!BD63</f>
        <v>Sweden</v>
      </c>
      <c r="I362" s="9" t="str">
        <f ca="1">+WORLDCUP!BD69</f>
        <v>Ghana</v>
      </c>
      <c r="J362" s="9" t="str">
        <f ca="1">+WORLDCUP!BD67</f>
        <v>Austria</v>
      </c>
      <c r="N362" s="16" t="s">
        <v>895</v>
      </c>
      <c r="O362" s="16">
        <v>361</v>
      </c>
      <c r="P362" s="16" t="s">
        <v>94</v>
      </c>
      <c r="Q362" s="16" t="s">
        <v>445</v>
      </c>
      <c r="R362" s="16" t="s">
        <v>91</v>
      </c>
      <c r="S362" s="16" t="s">
        <v>93</v>
      </c>
      <c r="T362" s="16" t="s">
        <v>90</v>
      </c>
      <c r="U362" s="16" t="s">
        <v>95</v>
      </c>
      <c r="V362" s="16" t="s">
        <v>453</v>
      </c>
      <c r="W362" s="16" t="s">
        <v>451</v>
      </c>
    </row>
    <row r="363" spans="1:23" x14ac:dyDescent="0.2">
      <c r="A363" s="9" t="s">
        <v>894</v>
      </c>
      <c r="B363" s="9">
        <f ca="1">+IF(A363=WORLDCUP!$BI$112,1,0)</f>
        <v>0</v>
      </c>
      <c r="C363" s="9" t="str">
        <f ca="1">+WORLDCUP!BD62</f>
        <v>Ivory Coast</v>
      </c>
      <c r="D363" s="9" t="str">
        <f ca="1">+WORLDCUP!BD64</f>
        <v>Iran</v>
      </c>
      <c r="E363" s="9" t="str">
        <f ca="1">+WORLDCUP!BD59</f>
        <v>Qatar</v>
      </c>
      <c r="F363" s="9" t="str">
        <f ca="1">+WORLDCUP!BD61</f>
        <v>Australia</v>
      </c>
      <c r="G363" s="9" t="str">
        <f ca="1">+WORLDCUP!BD58</f>
        <v>South Korea</v>
      </c>
      <c r="H363" s="9" t="str">
        <f ca="1">+WORLDCUP!BD63</f>
        <v>Sweden</v>
      </c>
      <c r="I363" s="9" t="str">
        <f ca="1">+WORLDCUP!BD67</f>
        <v>Austria</v>
      </c>
      <c r="J363" s="9" t="str">
        <f ca="1">+WORLDCUP!BD68</f>
        <v>Uzbekistan</v>
      </c>
      <c r="N363" s="16" t="s">
        <v>894</v>
      </c>
      <c r="O363" s="16">
        <v>362</v>
      </c>
      <c r="P363" s="16" t="s">
        <v>94</v>
      </c>
      <c r="Q363" s="16" t="s">
        <v>445</v>
      </c>
      <c r="R363" s="16" t="s">
        <v>91</v>
      </c>
      <c r="S363" s="16" t="s">
        <v>93</v>
      </c>
      <c r="T363" s="16" t="s">
        <v>90</v>
      </c>
      <c r="U363" s="16" t="s">
        <v>95</v>
      </c>
      <c r="V363" s="16" t="s">
        <v>451</v>
      </c>
      <c r="W363" s="16" t="s">
        <v>452</v>
      </c>
    </row>
    <row r="364" spans="1:23" x14ac:dyDescent="0.2">
      <c r="A364" s="9" t="s">
        <v>893</v>
      </c>
      <c r="B364" s="9">
        <f ca="1">+IF(A364=WORLDCUP!$BI$112,1,0)</f>
        <v>0</v>
      </c>
      <c r="C364" s="9" t="str">
        <f ca="1">+WORLDCUP!BD62</f>
        <v>Ivory Coast</v>
      </c>
      <c r="D364" s="9" t="str">
        <f ca="1">+WORLDCUP!BD64</f>
        <v>Iran</v>
      </c>
      <c r="E364" s="9" t="str">
        <f ca="1">+WORLDCUP!BD59</f>
        <v>Qatar</v>
      </c>
      <c r="F364" s="9" t="str">
        <f ca="1">+WORLDCUP!BD61</f>
        <v>Australia</v>
      </c>
      <c r="G364" s="9" t="str">
        <f ca="1">+WORLDCUP!BD58</f>
        <v>South Korea</v>
      </c>
      <c r="H364" s="9" t="str">
        <f ca="1">+WORLDCUP!BD63</f>
        <v>Sweden</v>
      </c>
      <c r="I364" s="9" t="str">
        <f ca="1">+WORLDCUP!BD69</f>
        <v>Ghana</v>
      </c>
      <c r="J364" s="9" t="str">
        <f ca="1">+WORLDCUP!BD66</f>
        <v>Iraq</v>
      </c>
      <c r="N364" s="16" t="s">
        <v>893</v>
      </c>
      <c r="O364" s="16">
        <v>363</v>
      </c>
      <c r="P364" s="16" t="s">
        <v>94</v>
      </c>
      <c r="Q364" s="16" t="s">
        <v>445</v>
      </c>
      <c r="R364" s="16" t="s">
        <v>91</v>
      </c>
      <c r="S364" s="16" t="s">
        <v>93</v>
      </c>
      <c r="T364" s="16" t="s">
        <v>90</v>
      </c>
      <c r="U364" s="16" t="s">
        <v>95</v>
      </c>
      <c r="V364" s="16" t="s">
        <v>453</v>
      </c>
      <c r="W364" s="16" t="s">
        <v>450</v>
      </c>
    </row>
    <row r="365" spans="1:23" x14ac:dyDescent="0.2">
      <c r="A365" s="9" t="s">
        <v>892</v>
      </c>
      <c r="B365" s="9">
        <f ca="1">+IF(A365=WORLDCUP!$BI$112,1,0)</f>
        <v>0</v>
      </c>
      <c r="C365" s="9" t="str">
        <f ca="1">+WORLDCUP!BD62</f>
        <v>Ivory Coast</v>
      </c>
      <c r="D365" s="9" t="str">
        <f ca="1">+WORLDCUP!BD64</f>
        <v>Iran</v>
      </c>
      <c r="E365" s="9" t="str">
        <f ca="1">+WORLDCUP!BD59</f>
        <v>Qatar</v>
      </c>
      <c r="F365" s="9" t="str">
        <f ca="1">+WORLDCUP!BD61</f>
        <v>Australia</v>
      </c>
      <c r="G365" s="9" t="str">
        <f ca="1">+WORLDCUP!BD58</f>
        <v>South Korea</v>
      </c>
      <c r="H365" s="9" t="str">
        <f ca="1">+WORLDCUP!BD63</f>
        <v>Sweden</v>
      </c>
      <c r="I365" s="9" t="str">
        <f ca="1">+WORLDCUP!BD66</f>
        <v>Iraq</v>
      </c>
      <c r="J365" s="9" t="str">
        <f ca="1">+WORLDCUP!BD68</f>
        <v>Uzbekistan</v>
      </c>
      <c r="N365" s="16" t="s">
        <v>892</v>
      </c>
      <c r="O365" s="16">
        <v>364</v>
      </c>
      <c r="P365" s="16" t="s">
        <v>94</v>
      </c>
      <c r="Q365" s="16" t="s">
        <v>445</v>
      </c>
      <c r="R365" s="16" t="s">
        <v>91</v>
      </c>
      <c r="S365" s="16" t="s">
        <v>93</v>
      </c>
      <c r="T365" s="16" t="s">
        <v>90</v>
      </c>
      <c r="U365" s="16" t="s">
        <v>95</v>
      </c>
      <c r="V365" s="16" t="s">
        <v>450</v>
      </c>
      <c r="W365" s="16" t="s">
        <v>452</v>
      </c>
    </row>
    <row r="366" spans="1:23" x14ac:dyDescent="0.2">
      <c r="A366" s="9" t="s">
        <v>891</v>
      </c>
      <c r="B366" s="9">
        <f ca="1">+IF(A366=WORLDCUP!$BI$112,1,0)</f>
        <v>0</v>
      </c>
      <c r="C366" s="9" t="str">
        <f ca="1">+WORLDCUP!BD62</f>
        <v>Ivory Coast</v>
      </c>
      <c r="D366" s="9" t="str">
        <f ca="1">+WORLDCUP!BD64</f>
        <v>Iran</v>
      </c>
      <c r="E366" s="9" t="str">
        <f ca="1">+WORLDCUP!BD59</f>
        <v>Qatar</v>
      </c>
      <c r="F366" s="9" t="str">
        <f ca="1">+WORLDCUP!BD61</f>
        <v>Australia</v>
      </c>
      <c r="G366" s="9" t="str">
        <f ca="1">+WORLDCUP!BD58</f>
        <v>South Korea</v>
      </c>
      <c r="H366" s="9" t="str">
        <f ca="1">+WORLDCUP!BD63</f>
        <v>Sweden</v>
      </c>
      <c r="I366" s="9" t="str">
        <f ca="1">+WORLDCUP!BD66</f>
        <v>Iraq</v>
      </c>
      <c r="J366" s="9" t="str">
        <f ca="1">+WORLDCUP!BD67</f>
        <v>Austria</v>
      </c>
      <c r="N366" s="16" t="s">
        <v>891</v>
      </c>
      <c r="O366" s="16">
        <v>365</v>
      </c>
      <c r="P366" s="16" t="s">
        <v>94</v>
      </c>
      <c r="Q366" s="16" t="s">
        <v>445</v>
      </c>
      <c r="R366" s="16" t="s">
        <v>91</v>
      </c>
      <c r="S366" s="16" t="s">
        <v>93</v>
      </c>
      <c r="T366" s="16" t="s">
        <v>90</v>
      </c>
      <c r="U366" s="16" t="s">
        <v>95</v>
      </c>
      <c r="V366" s="16" t="s">
        <v>450</v>
      </c>
      <c r="W366" s="16" t="s">
        <v>451</v>
      </c>
    </row>
    <row r="367" spans="1:23" x14ac:dyDescent="0.2">
      <c r="A367" s="9" t="s">
        <v>890</v>
      </c>
      <c r="B367" s="9">
        <f ca="1">+IF(A367=WORLDCUP!$BI$112,1,0)</f>
        <v>0</v>
      </c>
      <c r="C367" s="9" t="str">
        <f ca="1">+WORLDCUP!BD65</f>
        <v>Saudi Arabia</v>
      </c>
      <c r="D367" s="9" t="str">
        <f ca="1">+WORLDCUP!BD64</f>
        <v>Iran</v>
      </c>
      <c r="E367" s="9" t="str">
        <f ca="1">+WORLDCUP!BD59</f>
        <v>Qatar</v>
      </c>
      <c r="F367" s="9" t="str">
        <f ca="1">+WORLDCUP!BD61</f>
        <v>Australia</v>
      </c>
      <c r="G367" s="9" t="str">
        <f ca="1">+WORLDCUP!BD58</f>
        <v>South Korea</v>
      </c>
      <c r="H367" s="9" t="str">
        <f ca="1">+WORLDCUP!BD63</f>
        <v>Sweden</v>
      </c>
      <c r="I367" s="9" t="str">
        <f ca="1">+WORLDCUP!BD69</f>
        <v>Ghana</v>
      </c>
      <c r="J367" s="9" t="str">
        <f ca="1">+WORLDCUP!BD62</f>
        <v>Ivory Coast</v>
      </c>
      <c r="N367" s="16" t="s">
        <v>890</v>
      </c>
      <c r="O367" s="16">
        <v>366</v>
      </c>
      <c r="P367" s="16" t="s">
        <v>446</v>
      </c>
      <c r="Q367" s="16" t="s">
        <v>445</v>
      </c>
      <c r="R367" s="16" t="s">
        <v>91</v>
      </c>
      <c r="S367" s="16" t="s">
        <v>93</v>
      </c>
      <c r="T367" s="16" t="s">
        <v>90</v>
      </c>
      <c r="U367" s="16" t="s">
        <v>95</v>
      </c>
      <c r="V367" s="16" t="s">
        <v>453</v>
      </c>
      <c r="W367" s="16" t="s">
        <v>94</v>
      </c>
    </row>
    <row r="368" spans="1:23" x14ac:dyDescent="0.2">
      <c r="A368" s="9" t="s">
        <v>889</v>
      </c>
      <c r="B368" s="9">
        <f ca="1">+IF(A368=WORLDCUP!$BI$112,1,0)</f>
        <v>0</v>
      </c>
      <c r="C368" s="9" t="str">
        <f ca="1">+WORLDCUP!BD65</f>
        <v>Saudi Arabia</v>
      </c>
      <c r="D368" s="9" t="str">
        <f ca="1">+WORLDCUP!BD64</f>
        <v>Iran</v>
      </c>
      <c r="E368" s="9" t="str">
        <f ca="1">+WORLDCUP!BD59</f>
        <v>Qatar</v>
      </c>
      <c r="F368" s="9" t="str">
        <f ca="1">+WORLDCUP!BD61</f>
        <v>Australia</v>
      </c>
      <c r="G368" s="9" t="str">
        <f ca="1">+WORLDCUP!BD58</f>
        <v>South Korea</v>
      </c>
      <c r="H368" s="9" t="str">
        <f ca="1">+WORLDCUP!BD63</f>
        <v>Sweden</v>
      </c>
      <c r="I368" s="9" t="str">
        <f ca="1">+WORLDCUP!BD62</f>
        <v>Ivory Coast</v>
      </c>
      <c r="J368" s="9" t="str">
        <f ca="1">+WORLDCUP!BD68</f>
        <v>Uzbekistan</v>
      </c>
      <c r="N368" s="16" t="s">
        <v>889</v>
      </c>
      <c r="O368" s="16">
        <v>367</v>
      </c>
      <c r="P368" s="16" t="s">
        <v>446</v>
      </c>
      <c r="Q368" s="16" t="s">
        <v>445</v>
      </c>
      <c r="R368" s="16" t="s">
        <v>91</v>
      </c>
      <c r="S368" s="16" t="s">
        <v>93</v>
      </c>
      <c r="T368" s="16" t="s">
        <v>90</v>
      </c>
      <c r="U368" s="16" t="s">
        <v>95</v>
      </c>
      <c r="V368" s="16" t="s">
        <v>94</v>
      </c>
      <c r="W368" s="16" t="s">
        <v>452</v>
      </c>
    </row>
    <row r="369" spans="1:23" x14ac:dyDescent="0.2">
      <c r="A369" s="9" t="s">
        <v>888</v>
      </c>
      <c r="B369" s="9">
        <f ca="1">+IF(A369=WORLDCUP!$BI$112,1,0)</f>
        <v>0</v>
      </c>
      <c r="C369" s="9" t="str">
        <f ca="1">+WORLDCUP!BD65</f>
        <v>Saudi Arabia</v>
      </c>
      <c r="D369" s="9" t="str">
        <f ca="1">+WORLDCUP!BD64</f>
        <v>Iran</v>
      </c>
      <c r="E369" s="9" t="str">
        <f ca="1">+WORLDCUP!BD59</f>
        <v>Qatar</v>
      </c>
      <c r="F369" s="9" t="str">
        <f ca="1">+WORLDCUP!BD61</f>
        <v>Australia</v>
      </c>
      <c r="G369" s="9" t="str">
        <f ca="1">+WORLDCUP!BD58</f>
        <v>South Korea</v>
      </c>
      <c r="H369" s="9" t="str">
        <f ca="1">+WORLDCUP!BD63</f>
        <v>Sweden</v>
      </c>
      <c r="I369" s="9" t="str">
        <f ca="1">+WORLDCUP!BD62</f>
        <v>Ivory Coast</v>
      </c>
      <c r="J369" s="9" t="str">
        <f ca="1">+WORLDCUP!BD67</f>
        <v>Austria</v>
      </c>
      <c r="N369" s="16" t="s">
        <v>888</v>
      </c>
      <c r="O369" s="16">
        <v>368</v>
      </c>
      <c r="P369" s="16" t="s">
        <v>446</v>
      </c>
      <c r="Q369" s="16" t="s">
        <v>445</v>
      </c>
      <c r="R369" s="16" t="s">
        <v>91</v>
      </c>
      <c r="S369" s="16" t="s">
        <v>93</v>
      </c>
      <c r="T369" s="16" t="s">
        <v>90</v>
      </c>
      <c r="U369" s="16" t="s">
        <v>95</v>
      </c>
      <c r="V369" s="16" t="s">
        <v>94</v>
      </c>
      <c r="W369" s="16" t="s">
        <v>451</v>
      </c>
    </row>
    <row r="370" spans="1:23" x14ac:dyDescent="0.2">
      <c r="A370" s="9" t="s">
        <v>887</v>
      </c>
      <c r="B370" s="9">
        <f ca="1">+IF(A370=WORLDCUP!$BI$112,1,0)</f>
        <v>0</v>
      </c>
      <c r="C370" s="9" t="str">
        <f ca="1">+WORLDCUP!BD65</f>
        <v>Saudi Arabia</v>
      </c>
      <c r="D370" s="9" t="str">
        <f ca="1">+WORLDCUP!BD64</f>
        <v>Iran</v>
      </c>
      <c r="E370" s="9" t="str">
        <f ca="1">+WORLDCUP!BD59</f>
        <v>Qatar</v>
      </c>
      <c r="F370" s="9" t="str">
        <f ca="1">+WORLDCUP!BD61</f>
        <v>Australia</v>
      </c>
      <c r="G370" s="9" t="str">
        <f ca="1">+WORLDCUP!BD58</f>
        <v>South Korea</v>
      </c>
      <c r="H370" s="9" t="str">
        <f ca="1">+WORLDCUP!BD63</f>
        <v>Sweden</v>
      </c>
      <c r="I370" s="9" t="str">
        <f ca="1">+WORLDCUP!BD62</f>
        <v>Ivory Coast</v>
      </c>
      <c r="J370" s="9" t="str">
        <f ca="1">+WORLDCUP!BD66</f>
        <v>Iraq</v>
      </c>
      <c r="N370" s="16" t="s">
        <v>887</v>
      </c>
      <c r="O370" s="16">
        <v>369</v>
      </c>
      <c r="P370" s="16" t="s">
        <v>446</v>
      </c>
      <c r="Q370" s="16" t="s">
        <v>445</v>
      </c>
      <c r="R370" s="16" t="s">
        <v>91</v>
      </c>
      <c r="S370" s="16" t="s">
        <v>93</v>
      </c>
      <c r="T370" s="16" t="s">
        <v>90</v>
      </c>
      <c r="U370" s="16" t="s">
        <v>95</v>
      </c>
      <c r="V370" s="16" t="s">
        <v>94</v>
      </c>
      <c r="W370" s="16" t="s">
        <v>450</v>
      </c>
    </row>
    <row r="371" spans="1:23" x14ac:dyDescent="0.2">
      <c r="A371" s="9" t="s">
        <v>886</v>
      </c>
      <c r="B371" s="9">
        <f ca="1">+IF(A371=WORLDCUP!$BI$112,1,0)</f>
        <v>0</v>
      </c>
      <c r="C371" s="9" t="str">
        <f ca="1">+WORLDCUP!BD66</f>
        <v>Iraq</v>
      </c>
      <c r="D371" s="9" t="str">
        <f ca="1">+WORLDCUP!BD67</f>
        <v>Austria</v>
      </c>
      <c r="E371" s="9" t="str">
        <f ca="1">+WORLDCUP!BD59</f>
        <v>Qatar</v>
      </c>
      <c r="F371" s="9" t="str">
        <f ca="1">+WORLDCUP!BD60</f>
        <v>Haiti</v>
      </c>
      <c r="G371" s="9" t="str">
        <f ca="1">+WORLDCUP!BD58</f>
        <v>South Korea</v>
      </c>
      <c r="H371" s="9" t="str">
        <f ca="1">+WORLDCUP!BD65</f>
        <v>Saudi Arabia</v>
      </c>
      <c r="I371" s="9" t="str">
        <f ca="1">+WORLDCUP!BD69</f>
        <v>Ghana</v>
      </c>
      <c r="J371" s="9" t="str">
        <f ca="1">+WORLDCUP!BD68</f>
        <v>Uzbekistan</v>
      </c>
      <c r="N371" s="16" t="s">
        <v>886</v>
      </c>
      <c r="O371" s="16">
        <v>370</v>
      </c>
      <c r="P371" s="16" t="s">
        <v>450</v>
      </c>
      <c r="Q371" s="16" t="s">
        <v>451</v>
      </c>
      <c r="R371" s="16" t="s">
        <v>91</v>
      </c>
      <c r="S371" s="16" t="s">
        <v>92</v>
      </c>
      <c r="T371" s="16" t="s">
        <v>90</v>
      </c>
      <c r="U371" s="16" t="s">
        <v>446</v>
      </c>
      <c r="V371" s="16" t="s">
        <v>453</v>
      </c>
      <c r="W371" s="16" t="s">
        <v>452</v>
      </c>
    </row>
    <row r="372" spans="1:23" x14ac:dyDescent="0.2">
      <c r="A372" s="9" t="s">
        <v>885</v>
      </c>
      <c r="B372" s="9">
        <f ca="1">+IF(A372=WORLDCUP!$BI$112,1,0)</f>
        <v>0</v>
      </c>
      <c r="C372" s="9" t="str">
        <f ca="1">+WORLDCUP!BD66</f>
        <v>Iraq</v>
      </c>
      <c r="D372" s="9" t="str">
        <f ca="1">+WORLDCUP!BD67</f>
        <v>Austria</v>
      </c>
      <c r="E372" s="9" t="str">
        <f ca="1">+WORLDCUP!BD59</f>
        <v>Qatar</v>
      </c>
      <c r="F372" s="9" t="str">
        <f ca="1">+WORLDCUP!BD60</f>
        <v>Haiti</v>
      </c>
      <c r="G372" s="9" t="str">
        <f ca="1">+WORLDCUP!BD58</f>
        <v>South Korea</v>
      </c>
      <c r="H372" s="9" t="str">
        <f ca="1">+WORLDCUP!BD64</f>
        <v>Iran</v>
      </c>
      <c r="I372" s="9" t="str">
        <f ca="1">+WORLDCUP!BD69</f>
        <v>Ghana</v>
      </c>
      <c r="J372" s="9" t="str">
        <f ca="1">+WORLDCUP!BD68</f>
        <v>Uzbekistan</v>
      </c>
      <c r="N372" s="16" t="s">
        <v>885</v>
      </c>
      <c r="O372" s="16">
        <v>371</v>
      </c>
      <c r="P372" s="16" t="s">
        <v>450</v>
      </c>
      <c r="Q372" s="16" t="s">
        <v>451</v>
      </c>
      <c r="R372" s="16" t="s">
        <v>91</v>
      </c>
      <c r="S372" s="16" t="s">
        <v>92</v>
      </c>
      <c r="T372" s="16" t="s">
        <v>90</v>
      </c>
      <c r="U372" s="16" t="s">
        <v>445</v>
      </c>
      <c r="V372" s="16" t="s">
        <v>453</v>
      </c>
      <c r="W372" s="16" t="s">
        <v>452</v>
      </c>
    </row>
    <row r="373" spans="1:23" x14ac:dyDescent="0.2">
      <c r="A373" s="9" t="s">
        <v>884</v>
      </c>
      <c r="B373" s="9">
        <f ca="1">+IF(A373=WORLDCUP!$BI$112,1,0)</f>
        <v>0</v>
      </c>
      <c r="C373" s="9" t="str">
        <f ca="1">+WORLDCUP!BD65</f>
        <v>Saudi Arabia</v>
      </c>
      <c r="D373" s="9" t="str">
        <f ca="1">+WORLDCUP!BD67</f>
        <v>Austria</v>
      </c>
      <c r="E373" s="9" t="str">
        <f ca="1">+WORLDCUP!BD59</f>
        <v>Qatar</v>
      </c>
      <c r="F373" s="9" t="str">
        <f ca="1">+WORLDCUP!BD60</f>
        <v>Haiti</v>
      </c>
      <c r="G373" s="9" t="str">
        <f ca="1">+WORLDCUP!BD58</f>
        <v>South Korea</v>
      </c>
      <c r="H373" s="9" t="str">
        <f ca="1">+WORLDCUP!BD64</f>
        <v>Iran</v>
      </c>
      <c r="I373" s="9" t="str">
        <f ca="1">+WORLDCUP!BD69</f>
        <v>Ghana</v>
      </c>
      <c r="J373" s="9" t="str">
        <f ca="1">+WORLDCUP!BD68</f>
        <v>Uzbekistan</v>
      </c>
      <c r="N373" s="16" t="s">
        <v>884</v>
      </c>
      <c r="O373" s="16">
        <v>372</v>
      </c>
      <c r="P373" s="16" t="s">
        <v>446</v>
      </c>
      <c r="Q373" s="16" t="s">
        <v>451</v>
      </c>
      <c r="R373" s="16" t="s">
        <v>91</v>
      </c>
      <c r="S373" s="16" t="s">
        <v>92</v>
      </c>
      <c r="T373" s="16" t="s">
        <v>90</v>
      </c>
      <c r="U373" s="16" t="s">
        <v>445</v>
      </c>
      <c r="V373" s="16" t="s">
        <v>453</v>
      </c>
      <c r="W373" s="16" t="s">
        <v>452</v>
      </c>
    </row>
    <row r="374" spans="1:23" x14ac:dyDescent="0.2">
      <c r="A374" s="9" t="s">
        <v>883</v>
      </c>
      <c r="B374" s="9">
        <f ca="1">+IF(A374=WORLDCUP!$BI$112,1,0)</f>
        <v>0</v>
      </c>
      <c r="C374" s="9" t="str">
        <f ca="1">+WORLDCUP!BD66</f>
        <v>Iraq</v>
      </c>
      <c r="D374" s="9" t="str">
        <f ca="1">+WORLDCUP!BD64</f>
        <v>Iran</v>
      </c>
      <c r="E374" s="9" t="str">
        <f ca="1">+WORLDCUP!BD59</f>
        <v>Qatar</v>
      </c>
      <c r="F374" s="9" t="str">
        <f ca="1">+WORLDCUP!BD60</f>
        <v>Haiti</v>
      </c>
      <c r="G374" s="9" t="str">
        <f ca="1">+WORLDCUP!BD58</f>
        <v>South Korea</v>
      </c>
      <c r="H374" s="9" t="str">
        <f ca="1">+WORLDCUP!BD65</f>
        <v>Saudi Arabia</v>
      </c>
      <c r="I374" s="9" t="str">
        <f ca="1">+WORLDCUP!BD69</f>
        <v>Ghana</v>
      </c>
      <c r="J374" s="9" t="str">
        <f ca="1">+WORLDCUP!BD68</f>
        <v>Uzbekistan</v>
      </c>
      <c r="N374" s="16" t="s">
        <v>883</v>
      </c>
      <c r="O374" s="16">
        <v>373</v>
      </c>
      <c r="P374" s="16" t="s">
        <v>450</v>
      </c>
      <c r="Q374" s="16" t="s">
        <v>445</v>
      </c>
      <c r="R374" s="16" t="s">
        <v>91</v>
      </c>
      <c r="S374" s="16" t="s">
        <v>92</v>
      </c>
      <c r="T374" s="16" t="s">
        <v>90</v>
      </c>
      <c r="U374" s="16" t="s">
        <v>446</v>
      </c>
      <c r="V374" s="16" t="s">
        <v>453</v>
      </c>
      <c r="W374" s="16" t="s">
        <v>452</v>
      </c>
    </row>
    <row r="375" spans="1:23" x14ac:dyDescent="0.2">
      <c r="A375" s="9" t="s">
        <v>882</v>
      </c>
      <c r="B375" s="9">
        <f ca="1">+IF(A375=WORLDCUP!$BI$112,1,0)</f>
        <v>0</v>
      </c>
      <c r="C375" s="9" t="str">
        <f ca="1">+WORLDCUP!BD65</f>
        <v>Saudi Arabia</v>
      </c>
      <c r="D375" s="9" t="str">
        <f ca="1">+WORLDCUP!BD67</f>
        <v>Austria</v>
      </c>
      <c r="E375" s="9" t="str">
        <f ca="1">+WORLDCUP!BD59</f>
        <v>Qatar</v>
      </c>
      <c r="F375" s="9" t="str">
        <f ca="1">+WORLDCUP!BD60</f>
        <v>Haiti</v>
      </c>
      <c r="G375" s="9" t="str">
        <f ca="1">+WORLDCUP!BD58</f>
        <v>South Korea</v>
      </c>
      <c r="H375" s="9" t="str">
        <f ca="1">+WORLDCUP!BD64</f>
        <v>Iran</v>
      </c>
      <c r="I375" s="9" t="str">
        <f ca="1">+WORLDCUP!BD69</f>
        <v>Ghana</v>
      </c>
      <c r="J375" s="9" t="str">
        <f ca="1">+WORLDCUP!BD66</f>
        <v>Iraq</v>
      </c>
      <c r="N375" s="16" t="s">
        <v>882</v>
      </c>
      <c r="O375" s="16">
        <v>374</v>
      </c>
      <c r="P375" s="16" t="s">
        <v>446</v>
      </c>
      <c r="Q375" s="16" t="s">
        <v>451</v>
      </c>
      <c r="R375" s="16" t="s">
        <v>91</v>
      </c>
      <c r="S375" s="16" t="s">
        <v>92</v>
      </c>
      <c r="T375" s="16" t="s">
        <v>90</v>
      </c>
      <c r="U375" s="16" t="s">
        <v>445</v>
      </c>
      <c r="V375" s="16" t="s">
        <v>453</v>
      </c>
      <c r="W375" s="16" t="s">
        <v>450</v>
      </c>
    </row>
    <row r="376" spans="1:23" x14ac:dyDescent="0.2">
      <c r="A376" s="9" t="s">
        <v>881</v>
      </c>
      <c r="B376" s="9">
        <f ca="1">+IF(A376=WORLDCUP!$BI$112,1,0)</f>
        <v>0</v>
      </c>
      <c r="C376" s="9" t="str">
        <f ca="1">+WORLDCUP!BD65</f>
        <v>Saudi Arabia</v>
      </c>
      <c r="D376" s="9" t="str">
        <f ca="1">+WORLDCUP!BD67</f>
        <v>Austria</v>
      </c>
      <c r="E376" s="9" t="str">
        <f ca="1">+WORLDCUP!BD59</f>
        <v>Qatar</v>
      </c>
      <c r="F376" s="9" t="str">
        <f ca="1">+WORLDCUP!BD60</f>
        <v>Haiti</v>
      </c>
      <c r="G376" s="9" t="str">
        <f ca="1">+WORLDCUP!BD58</f>
        <v>South Korea</v>
      </c>
      <c r="H376" s="9" t="str">
        <f ca="1">+WORLDCUP!BD64</f>
        <v>Iran</v>
      </c>
      <c r="I376" s="9" t="str">
        <f ca="1">+WORLDCUP!BD66</f>
        <v>Iraq</v>
      </c>
      <c r="J376" s="9" t="str">
        <f ca="1">+WORLDCUP!BD68</f>
        <v>Uzbekistan</v>
      </c>
      <c r="N376" s="16" t="s">
        <v>881</v>
      </c>
      <c r="O376" s="16">
        <v>375</v>
      </c>
      <c r="P376" s="16" t="s">
        <v>446</v>
      </c>
      <c r="Q376" s="16" t="s">
        <v>451</v>
      </c>
      <c r="R376" s="16" t="s">
        <v>91</v>
      </c>
      <c r="S376" s="16" t="s">
        <v>92</v>
      </c>
      <c r="T376" s="16" t="s">
        <v>90</v>
      </c>
      <c r="U376" s="16" t="s">
        <v>445</v>
      </c>
      <c r="V376" s="16" t="s">
        <v>450</v>
      </c>
      <c r="W376" s="16" t="s">
        <v>452</v>
      </c>
    </row>
    <row r="377" spans="1:23" x14ac:dyDescent="0.2">
      <c r="A377" s="9" t="s">
        <v>880</v>
      </c>
      <c r="B377" s="9">
        <f ca="1">+IF(A377=WORLDCUP!$BI$112,1,0)</f>
        <v>0</v>
      </c>
      <c r="C377" s="9" t="str">
        <f ca="1">+WORLDCUP!BD66</f>
        <v>Iraq</v>
      </c>
      <c r="D377" s="9" t="str">
        <f ca="1">+WORLDCUP!BD67</f>
        <v>Austria</v>
      </c>
      <c r="E377" s="9" t="str">
        <f ca="1">+WORLDCUP!BD59</f>
        <v>Qatar</v>
      </c>
      <c r="F377" s="9" t="str">
        <f ca="1">+WORLDCUP!BD60</f>
        <v>Haiti</v>
      </c>
      <c r="G377" s="9" t="str">
        <f ca="1">+WORLDCUP!BD58</f>
        <v>South Korea</v>
      </c>
      <c r="H377" s="9" t="str">
        <f ca="1">+WORLDCUP!BD63</f>
        <v>Sweden</v>
      </c>
      <c r="I377" s="9" t="str">
        <f ca="1">+WORLDCUP!BD69</f>
        <v>Ghana</v>
      </c>
      <c r="J377" s="9" t="str">
        <f ca="1">+WORLDCUP!BD68</f>
        <v>Uzbekistan</v>
      </c>
      <c r="N377" s="16" t="s">
        <v>880</v>
      </c>
      <c r="O377" s="16">
        <v>376</v>
      </c>
      <c r="P377" s="16" t="s">
        <v>450</v>
      </c>
      <c r="Q377" s="16" t="s">
        <v>451</v>
      </c>
      <c r="R377" s="16" t="s">
        <v>91</v>
      </c>
      <c r="S377" s="16" t="s">
        <v>92</v>
      </c>
      <c r="T377" s="16" t="s">
        <v>90</v>
      </c>
      <c r="U377" s="16" t="s">
        <v>95</v>
      </c>
      <c r="V377" s="16" t="s">
        <v>453</v>
      </c>
      <c r="W377" s="16" t="s">
        <v>452</v>
      </c>
    </row>
    <row r="378" spans="1:23" x14ac:dyDescent="0.2">
      <c r="A378" s="9" t="s">
        <v>879</v>
      </c>
      <c r="B378" s="9">
        <f ca="1">+IF(A378=WORLDCUP!$BI$112,1,0)</f>
        <v>0</v>
      </c>
      <c r="C378" s="9" t="str">
        <f ca="1">+WORLDCUP!BD65</f>
        <v>Saudi Arabia</v>
      </c>
      <c r="D378" s="9" t="str">
        <f ca="1">+WORLDCUP!BD67</f>
        <v>Austria</v>
      </c>
      <c r="E378" s="9" t="str">
        <f ca="1">+WORLDCUP!BD59</f>
        <v>Qatar</v>
      </c>
      <c r="F378" s="9" t="str">
        <f ca="1">+WORLDCUP!BD60</f>
        <v>Haiti</v>
      </c>
      <c r="G378" s="9" t="str">
        <f ca="1">+WORLDCUP!BD58</f>
        <v>South Korea</v>
      </c>
      <c r="H378" s="9" t="str">
        <f ca="1">+WORLDCUP!BD63</f>
        <v>Sweden</v>
      </c>
      <c r="I378" s="9" t="str">
        <f ca="1">+WORLDCUP!BD69</f>
        <v>Ghana</v>
      </c>
      <c r="J378" s="9" t="str">
        <f ca="1">+WORLDCUP!BD68</f>
        <v>Uzbekistan</v>
      </c>
      <c r="N378" s="16" t="s">
        <v>879</v>
      </c>
      <c r="O378" s="16">
        <v>377</v>
      </c>
      <c r="P378" s="16" t="s">
        <v>446</v>
      </c>
      <c r="Q378" s="16" t="s">
        <v>451</v>
      </c>
      <c r="R378" s="16" t="s">
        <v>91</v>
      </c>
      <c r="S378" s="16" t="s">
        <v>92</v>
      </c>
      <c r="T378" s="16" t="s">
        <v>90</v>
      </c>
      <c r="U378" s="16" t="s">
        <v>95</v>
      </c>
      <c r="V378" s="16" t="s">
        <v>453</v>
      </c>
      <c r="W378" s="16" t="s">
        <v>452</v>
      </c>
    </row>
    <row r="379" spans="1:23" x14ac:dyDescent="0.2">
      <c r="A379" s="9" t="s">
        <v>878</v>
      </c>
      <c r="B379" s="9">
        <f ca="1">+IF(A379=WORLDCUP!$BI$112,1,0)</f>
        <v>0</v>
      </c>
      <c r="C379" s="9" t="str">
        <f ca="1">+WORLDCUP!BD65</f>
        <v>Saudi Arabia</v>
      </c>
      <c r="D379" s="9" t="str">
        <f ca="1">+WORLDCUP!BD66</f>
        <v>Iraq</v>
      </c>
      <c r="E379" s="9" t="str">
        <f ca="1">+WORLDCUP!BD59</f>
        <v>Qatar</v>
      </c>
      <c r="F379" s="9" t="str">
        <f ca="1">+WORLDCUP!BD60</f>
        <v>Haiti</v>
      </c>
      <c r="G379" s="9" t="str">
        <f ca="1">+WORLDCUP!BD58</f>
        <v>South Korea</v>
      </c>
      <c r="H379" s="9" t="str">
        <f ca="1">+WORLDCUP!BD63</f>
        <v>Sweden</v>
      </c>
      <c r="I379" s="9" t="str">
        <f ca="1">+WORLDCUP!BD69</f>
        <v>Ghana</v>
      </c>
      <c r="J379" s="9" t="str">
        <f ca="1">+WORLDCUP!BD68</f>
        <v>Uzbekistan</v>
      </c>
      <c r="N379" s="16" t="s">
        <v>878</v>
      </c>
      <c r="O379" s="16">
        <v>378</v>
      </c>
      <c r="P379" s="16" t="s">
        <v>446</v>
      </c>
      <c r="Q379" s="16" t="s">
        <v>450</v>
      </c>
      <c r="R379" s="16" t="s">
        <v>91</v>
      </c>
      <c r="S379" s="16" t="s">
        <v>92</v>
      </c>
      <c r="T379" s="16" t="s">
        <v>90</v>
      </c>
      <c r="U379" s="16" t="s">
        <v>95</v>
      </c>
      <c r="V379" s="16" t="s">
        <v>453</v>
      </c>
      <c r="W379" s="16" t="s">
        <v>452</v>
      </c>
    </row>
    <row r="380" spans="1:23" x14ac:dyDescent="0.2">
      <c r="A380" s="9" t="s">
        <v>877</v>
      </c>
      <c r="B380" s="9">
        <f ca="1">+IF(A380=WORLDCUP!$BI$112,1,0)</f>
        <v>0</v>
      </c>
      <c r="C380" s="9" t="str">
        <f ca="1">+WORLDCUP!BD65</f>
        <v>Saudi Arabia</v>
      </c>
      <c r="D380" s="9" t="str">
        <f ca="1">+WORLDCUP!BD67</f>
        <v>Austria</v>
      </c>
      <c r="E380" s="9" t="str">
        <f ca="1">+WORLDCUP!BD59</f>
        <v>Qatar</v>
      </c>
      <c r="F380" s="9" t="str">
        <f ca="1">+WORLDCUP!BD60</f>
        <v>Haiti</v>
      </c>
      <c r="G380" s="9" t="str">
        <f ca="1">+WORLDCUP!BD58</f>
        <v>South Korea</v>
      </c>
      <c r="H380" s="9" t="str">
        <f ca="1">+WORLDCUP!BD63</f>
        <v>Sweden</v>
      </c>
      <c r="I380" s="9" t="str">
        <f ca="1">+WORLDCUP!BD69</f>
        <v>Ghana</v>
      </c>
      <c r="J380" s="9" t="str">
        <f ca="1">+WORLDCUP!BD66</f>
        <v>Iraq</v>
      </c>
      <c r="N380" s="16" t="s">
        <v>877</v>
      </c>
      <c r="O380" s="16">
        <v>379</v>
      </c>
      <c r="P380" s="16" t="s">
        <v>446</v>
      </c>
      <c r="Q380" s="16" t="s">
        <v>451</v>
      </c>
      <c r="R380" s="16" t="s">
        <v>91</v>
      </c>
      <c r="S380" s="16" t="s">
        <v>92</v>
      </c>
      <c r="T380" s="16" t="s">
        <v>90</v>
      </c>
      <c r="U380" s="16" t="s">
        <v>95</v>
      </c>
      <c r="V380" s="16" t="s">
        <v>453</v>
      </c>
      <c r="W380" s="16" t="s">
        <v>450</v>
      </c>
    </row>
    <row r="381" spans="1:23" x14ac:dyDescent="0.2">
      <c r="A381" s="9" t="s">
        <v>876</v>
      </c>
      <c r="B381" s="9">
        <f ca="1">+IF(A381=WORLDCUP!$BI$112,1,0)</f>
        <v>0</v>
      </c>
      <c r="C381" s="9" t="str">
        <f ca="1">+WORLDCUP!BD65</f>
        <v>Saudi Arabia</v>
      </c>
      <c r="D381" s="9" t="str">
        <f ca="1">+WORLDCUP!BD67</f>
        <v>Austria</v>
      </c>
      <c r="E381" s="9" t="str">
        <f ca="1">+WORLDCUP!BD59</f>
        <v>Qatar</v>
      </c>
      <c r="F381" s="9" t="str">
        <f ca="1">+WORLDCUP!BD60</f>
        <v>Haiti</v>
      </c>
      <c r="G381" s="9" t="str">
        <f ca="1">+WORLDCUP!BD58</f>
        <v>South Korea</v>
      </c>
      <c r="H381" s="9" t="str">
        <f ca="1">+WORLDCUP!BD63</f>
        <v>Sweden</v>
      </c>
      <c r="I381" s="9" t="str">
        <f ca="1">+WORLDCUP!BD66</f>
        <v>Iraq</v>
      </c>
      <c r="J381" s="9" t="str">
        <f ca="1">+WORLDCUP!BD68</f>
        <v>Uzbekistan</v>
      </c>
      <c r="N381" s="16" t="s">
        <v>876</v>
      </c>
      <c r="O381" s="16">
        <v>380</v>
      </c>
      <c r="P381" s="16" t="s">
        <v>446</v>
      </c>
      <c r="Q381" s="16" t="s">
        <v>451</v>
      </c>
      <c r="R381" s="16" t="s">
        <v>91</v>
      </c>
      <c r="S381" s="16" t="s">
        <v>92</v>
      </c>
      <c r="T381" s="16" t="s">
        <v>90</v>
      </c>
      <c r="U381" s="16" t="s">
        <v>95</v>
      </c>
      <c r="V381" s="16" t="s">
        <v>450</v>
      </c>
      <c r="W381" s="16" t="s">
        <v>452</v>
      </c>
    </row>
    <row r="382" spans="1:23" x14ac:dyDescent="0.2">
      <c r="A382" s="9" t="s">
        <v>875</v>
      </c>
      <c r="B382" s="9">
        <f ca="1">+IF(A382=WORLDCUP!$BI$112,1,0)</f>
        <v>0</v>
      </c>
      <c r="C382" s="9" t="str">
        <f ca="1">+WORLDCUP!BD60</f>
        <v>Haiti</v>
      </c>
      <c r="D382" s="9" t="str">
        <f ca="1">+WORLDCUP!BD67</f>
        <v>Austria</v>
      </c>
      <c r="E382" s="9" t="str">
        <f ca="1">+WORLDCUP!BD59</f>
        <v>Qatar</v>
      </c>
      <c r="F382" s="9" t="str">
        <f ca="1">+WORLDCUP!BD63</f>
        <v>Sweden</v>
      </c>
      <c r="G382" s="9" t="str">
        <f ca="1">+WORLDCUP!BD58</f>
        <v>South Korea</v>
      </c>
      <c r="H382" s="9" t="str">
        <f ca="1">+WORLDCUP!BD64</f>
        <v>Iran</v>
      </c>
      <c r="I382" s="9" t="str">
        <f ca="1">+WORLDCUP!BD69</f>
        <v>Ghana</v>
      </c>
      <c r="J382" s="9" t="str">
        <f ca="1">+WORLDCUP!BD68</f>
        <v>Uzbekistan</v>
      </c>
      <c r="N382" s="16" t="s">
        <v>875</v>
      </c>
      <c r="O382" s="16">
        <v>381</v>
      </c>
      <c r="P382" s="16" t="s">
        <v>92</v>
      </c>
      <c r="Q382" s="16" t="s">
        <v>451</v>
      </c>
      <c r="R382" s="16" t="s">
        <v>91</v>
      </c>
      <c r="S382" s="16" t="s">
        <v>95</v>
      </c>
      <c r="T382" s="16" t="s">
        <v>90</v>
      </c>
      <c r="U382" s="16" t="s">
        <v>445</v>
      </c>
      <c r="V382" s="16" t="s">
        <v>453</v>
      </c>
      <c r="W382" s="16" t="s">
        <v>452</v>
      </c>
    </row>
    <row r="383" spans="1:23" x14ac:dyDescent="0.2">
      <c r="A383" s="9" t="s">
        <v>874</v>
      </c>
      <c r="B383" s="9">
        <f ca="1">+IF(A383=WORLDCUP!$BI$112,1,0)</f>
        <v>0</v>
      </c>
      <c r="C383" s="9" t="str">
        <f ca="1">+WORLDCUP!BD66</f>
        <v>Iraq</v>
      </c>
      <c r="D383" s="9" t="str">
        <f ca="1">+WORLDCUP!BD64</f>
        <v>Iran</v>
      </c>
      <c r="E383" s="9" t="str">
        <f ca="1">+WORLDCUP!BD59</f>
        <v>Qatar</v>
      </c>
      <c r="F383" s="9" t="str">
        <f ca="1">+WORLDCUP!BD60</f>
        <v>Haiti</v>
      </c>
      <c r="G383" s="9" t="str">
        <f ca="1">+WORLDCUP!BD58</f>
        <v>South Korea</v>
      </c>
      <c r="H383" s="9" t="str">
        <f ca="1">+WORLDCUP!BD63</f>
        <v>Sweden</v>
      </c>
      <c r="I383" s="9" t="str">
        <f ca="1">+WORLDCUP!BD69</f>
        <v>Ghana</v>
      </c>
      <c r="J383" s="9" t="str">
        <f ca="1">+WORLDCUP!BD68</f>
        <v>Uzbekistan</v>
      </c>
      <c r="N383" s="16" t="s">
        <v>874</v>
      </c>
      <c r="O383" s="16">
        <v>382</v>
      </c>
      <c r="P383" s="16" t="s">
        <v>450</v>
      </c>
      <c r="Q383" s="16" t="s">
        <v>445</v>
      </c>
      <c r="R383" s="16" t="s">
        <v>91</v>
      </c>
      <c r="S383" s="16" t="s">
        <v>92</v>
      </c>
      <c r="T383" s="16" t="s">
        <v>90</v>
      </c>
      <c r="U383" s="16" t="s">
        <v>95</v>
      </c>
      <c r="V383" s="16" t="s">
        <v>453</v>
      </c>
      <c r="W383" s="16" t="s">
        <v>452</v>
      </c>
    </row>
    <row r="384" spans="1:23" x14ac:dyDescent="0.2">
      <c r="A384" s="9" t="s">
        <v>873</v>
      </c>
      <c r="B384" s="9">
        <f ca="1">+IF(A384=WORLDCUP!$BI$112,1,0)</f>
        <v>0</v>
      </c>
      <c r="C384" s="9" t="str">
        <f ca="1">+WORLDCUP!BD60</f>
        <v>Haiti</v>
      </c>
      <c r="D384" s="9" t="str">
        <f ca="1">+WORLDCUP!BD67</f>
        <v>Austria</v>
      </c>
      <c r="E384" s="9" t="str">
        <f ca="1">+WORLDCUP!BD59</f>
        <v>Qatar</v>
      </c>
      <c r="F384" s="9" t="str">
        <f ca="1">+WORLDCUP!BD63</f>
        <v>Sweden</v>
      </c>
      <c r="G384" s="9" t="str">
        <f ca="1">+WORLDCUP!BD58</f>
        <v>South Korea</v>
      </c>
      <c r="H384" s="9" t="str">
        <f ca="1">+WORLDCUP!BD64</f>
        <v>Iran</v>
      </c>
      <c r="I384" s="9" t="str">
        <f ca="1">+WORLDCUP!BD69</f>
        <v>Ghana</v>
      </c>
      <c r="J384" s="9" t="str">
        <f ca="1">+WORLDCUP!BD66</f>
        <v>Iraq</v>
      </c>
      <c r="N384" s="16" t="s">
        <v>873</v>
      </c>
      <c r="O384" s="16">
        <v>383</v>
      </c>
      <c r="P384" s="16" t="s">
        <v>92</v>
      </c>
      <c r="Q384" s="16" t="s">
        <v>451</v>
      </c>
      <c r="R384" s="16" t="s">
        <v>91</v>
      </c>
      <c r="S384" s="16" t="s">
        <v>95</v>
      </c>
      <c r="T384" s="16" t="s">
        <v>90</v>
      </c>
      <c r="U384" s="16" t="s">
        <v>445</v>
      </c>
      <c r="V384" s="16" t="s">
        <v>453</v>
      </c>
      <c r="W384" s="16" t="s">
        <v>450</v>
      </c>
    </row>
    <row r="385" spans="1:23" x14ac:dyDescent="0.2">
      <c r="A385" s="9" t="s">
        <v>872</v>
      </c>
      <c r="B385" s="9">
        <f ca="1">+IF(A385=WORLDCUP!$BI$112,1,0)</f>
        <v>0</v>
      </c>
      <c r="C385" s="9" t="str">
        <f ca="1">+WORLDCUP!BD60</f>
        <v>Haiti</v>
      </c>
      <c r="D385" s="9" t="str">
        <f ca="1">+WORLDCUP!BD67</f>
        <v>Austria</v>
      </c>
      <c r="E385" s="9" t="str">
        <f ca="1">+WORLDCUP!BD59</f>
        <v>Qatar</v>
      </c>
      <c r="F385" s="9" t="str">
        <f ca="1">+WORLDCUP!BD63</f>
        <v>Sweden</v>
      </c>
      <c r="G385" s="9" t="str">
        <f ca="1">+WORLDCUP!BD58</f>
        <v>South Korea</v>
      </c>
      <c r="H385" s="9" t="str">
        <f ca="1">+WORLDCUP!BD64</f>
        <v>Iran</v>
      </c>
      <c r="I385" s="9" t="str">
        <f ca="1">+WORLDCUP!BD66</f>
        <v>Iraq</v>
      </c>
      <c r="J385" s="9" t="str">
        <f ca="1">+WORLDCUP!BD68</f>
        <v>Uzbekistan</v>
      </c>
      <c r="N385" s="16" t="s">
        <v>872</v>
      </c>
      <c r="O385" s="16">
        <v>384</v>
      </c>
      <c r="P385" s="16" t="s">
        <v>92</v>
      </c>
      <c r="Q385" s="16" t="s">
        <v>451</v>
      </c>
      <c r="R385" s="16" t="s">
        <v>91</v>
      </c>
      <c r="S385" s="16" t="s">
        <v>95</v>
      </c>
      <c r="T385" s="16" t="s">
        <v>90</v>
      </c>
      <c r="U385" s="16" t="s">
        <v>445</v>
      </c>
      <c r="V385" s="16" t="s">
        <v>450</v>
      </c>
      <c r="W385" s="16" t="s">
        <v>452</v>
      </c>
    </row>
    <row r="386" spans="1:23" x14ac:dyDescent="0.2">
      <c r="A386" s="9" t="s">
        <v>871</v>
      </c>
      <c r="B386" s="9">
        <f ca="1">+IF(A386=WORLDCUP!$BI$112,1,0)</f>
        <v>0</v>
      </c>
      <c r="C386" s="9" t="str">
        <f ca="1">+WORLDCUP!BD65</f>
        <v>Saudi Arabia</v>
      </c>
      <c r="D386" s="9" t="str">
        <f ca="1">+WORLDCUP!BD64</f>
        <v>Iran</v>
      </c>
      <c r="E386" s="9" t="str">
        <f ca="1">+WORLDCUP!BD59</f>
        <v>Qatar</v>
      </c>
      <c r="F386" s="9" t="str">
        <f ca="1">+WORLDCUP!BD60</f>
        <v>Haiti</v>
      </c>
      <c r="G386" s="9" t="str">
        <f ca="1">+WORLDCUP!BD58</f>
        <v>South Korea</v>
      </c>
      <c r="H386" s="9" t="str">
        <f ca="1">+WORLDCUP!BD63</f>
        <v>Sweden</v>
      </c>
      <c r="I386" s="9" t="str">
        <f ca="1">+WORLDCUP!BD69</f>
        <v>Ghana</v>
      </c>
      <c r="J386" s="9" t="str">
        <f ca="1">+WORLDCUP!BD68</f>
        <v>Uzbekistan</v>
      </c>
      <c r="N386" s="16" t="s">
        <v>871</v>
      </c>
      <c r="O386" s="16">
        <v>385</v>
      </c>
      <c r="P386" s="16" t="s">
        <v>446</v>
      </c>
      <c r="Q386" s="16" t="s">
        <v>445</v>
      </c>
      <c r="R386" s="16" t="s">
        <v>91</v>
      </c>
      <c r="S386" s="16" t="s">
        <v>92</v>
      </c>
      <c r="T386" s="16" t="s">
        <v>90</v>
      </c>
      <c r="U386" s="16" t="s">
        <v>95</v>
      </c>
      <c r="V386" s="16" t="s">
        <v>453</v>
      </c>
      <c r="W386" s="16" t="s">
        <v>452</v>
      </c>
    </row>
    <row r="387" spans="1:23" x14ac:dyDescent="0.2">
      <c r="A387" s="9" t="s">
        <v>870</v>
      </c>
      <c r="B387" s="9">
        <f ca="1">+IF(A387=WORLDCUP!$BI$112,1,0)</f>
        <v>0</v>
      </c>
      <c r="C387" s="9" t="str">
        <f ca="1">+WORLDCUP!BD65</f>
        <v>Saudi Arabia</v>
      </c>
      <c r="D387" s="9" t="str">
        <f ca="1">+WORLDCUP!BD64</f>
        <v>Iran</v>
      </c>
      <c r="E387" s="9" t="str">
        <f ca="1">+WORLDCUP!BD59</f>
        <v>Qatar</v>
      </c>
      <c r="F387" s="9" t="str">
        <f ca="1">+WORLDCUP!BD60</f>
        <v>Haiti</v>
      </c>
      <c r="G387" s="9" t="str">
        <f ca="1">+WORLDCUP!BD58</f>
        <v>South Korea</v>
      </c>
      <c r="H387" s="9" t="str">
        <f ca="1">+WORLDCUP!BD63</f>
        <v>Sweden</v>
      </c>
      <c r="I387" s="9" t="str">
        <f ca="1">+WORLDCUP!BD69</f>
        <v>Ghana</v>
      </c>
      <c r="J387" s="9" t="str">
        <f ca="1">+WORLDCUP!BD67</f>
        <v>Austria</v>
      </c>
      <c r="N387" s="16" t="s">
        <v>870</v>
      </c>
      <c r="O387" s="16">
        <v>386</v>
      </c>
      <c r="P387" s="16" t="s">
        <v>446</v>
      </c>
      <c r="Q387" s="16" t="s">
        <v>445</v>
      </c>
      <c r="R387" s="16" t="s">
        <v>91</v>
      </c>
      <c r="S387" s="16" t="s">
        <v>92</v>
      </c>
      <c r="T387" s="16" t="s">
        <v>90</v>
      </c>
      <c r="U387" s="16" t="s">
        <v>95</v>
      </c>
      <c r="V387" s="16" t="s">
        <v>453</v>
      </c>
      <c r="W387" s="16" t="s">
        <v>451</v>
      </c>
    </row>
    <row r="388" spans="1:23" x14ac:dyDescent="0.2">
      <c r="A388" s="9" t="s">
        <v>869</v>
      </c>
      <c r="B388" s="9">
        <f ca="1">+IF(A388=WORLDCUP!$BI$112,1,0)</f>
        <v>0</v>
      </c>
      <c r="C388" s="9" t="str">
        <f ca="1">+WORLDCUP!BD65</f>
        <v>Saudi Arabia</v>
      </c>
      <c r="D388" s="9" t="str">
        <f ca="1">+WORLDCUP!BD64</f>
        <v>Iran</v>
      </c>
      <c r="E388" s="9" t="str">
        <f ca="1">+WORLDCUP!BD59</f>
        <v>Qatar</v>
      </c>
      <c r="F388" s="9" t="str">
        <f ca="1">+WORLDCUP!BD60</f>
        <v>Haiti</v>
      </c>
      <c r="G388" s="9" t="str">
        <f ca="1">+WORLDCUP!BD58</f>
        <v>South Korea</v>
      </c>
      <c r="H388" s="9" t="str">
        <f ca="1">+WORLDCUP!BD63</f>
        <v>Sweden</v>
      </c>
      <c r="I388" s="9" t="str">
        <f ca="1">+WORLDCUP!BD67</f>
        <v>Austria</v>
      </c>
      <c r="J388" s="9" t="str">
        <f ca="1">+WORLDCUP!BD68</f>
        <v>Uzbekistan</v>
      </c>
      <c r="N388" s="16" t="s">
        <v>869</v>
      </c>
      <c r="O388" s="16">
        <v>387</v>
      </c>
      <c r="P388" s="16" t="s">
        <v>446</v>
      </c>
      <c r="Q388" s="16" t="s">
        <v>445</v>
      </c>
      <c r="R388" s="16" t="s">
        <v>91</v>
      </c>
      <c r="S388" s="16" t="s">
        <v>92</v>
      </c>
      <c r="T388" s="16" t="s">
        <v>90</v>
      </c>
      <c r="U388" s="16" t="s">
        <v>95</v>
      </c>
      <c r="V388" s="16" t="s">
        <v>451</v>
      </c>
      <c r="W388" s="16" t="s">
        <v>452</v>
      </c>
    </row>
    <row r="389" spans="1:23" x14ac:dyDescent="0.2">
      <c r="A389" s="9" t="s">
        <v>868</v>
      </c>
      <c r="B389" s="9">
        <f ca="1">+IF(A389=WORLDCUP!$BI$112,1,0)</f>
        <v>0</v>
      </c>
      <c r="C389" s="9" t="str">
        <f ca="1">+WORLDCUP!BD65</f>
        <v>Saudi Arabia</v>
      </c>
      <c r="D389" s="9" t="str">
        <f ca="1">+WORLDCUP!BD64</f>
        <v>Iran</v>
      </c>
      <c r="E389" s="9" t="str">
        <f ca="1">+WORLDCUP!BD59</f>
        <v>Qatar</v>
      </c>
      <c r="F389" s="9" t="str">
        <f ca="1">+WORLDCUP!BD60</f>
        <v>Haiti</v>
      </c>
      <c r="G389" s="9" t="str">
        <f ca="1">+WORLDCUP!BD58</f>
        <v>South Korea</v>
      </c>
      <c r="H389" s="9" t="str">
        <f ca="1">+WORLDCUP!BD63</f>
        <v>Sweden</v>
      </c>
      <c r="I389" s="9" t="str">
        <f ca="1">+WORLDCUP!BD69</f>
        <v>Ghana</v>
      </c>
      <c r="J389" s="9" t="str">
        <f ca="1">+WORLDCUP!BD66</f>
        <v>Iraq</v>
      </c>
      <c r="N389" s="16" t="s">
        <v>868</v>
      </c>
      <c r="O389" s="16">
        <v>388</v>
      </c>
      <c r="P389" s="16" t="s">
        <v>446</v>
      </c>
      <c r="Q389" s="16" t="s">
        <v>445</v>
      </c>
      <c r="R389" s="16" t="s">
        <v>91</v>
      </c>
      <c r="S389" s="16" t="s">
        <v>92</v>
      </c>
      <c r="T389" s="16" t="s">
        <v>90</v>
      </c>
      <c r="U389" s="16" t="s">
        <v>95</v>
      </c>
      <c r="V389" s="16" t="s">
        <v>453</v>
      </c>
      <c r="W389" s="16" t="s">
        <v>450</v>
      </c>
    </row>
    <row r="390" spans="1:23" x14ac:dyDescent="0.2">
      <c r="A390" s="9" t="s">
        <v>867</v>
      </c>
      <c r="B390" s="9">
        <f ca="1">+IF(A390=WORLDCUP!$BI$112,1,0)</f>
        <v>0</v>
      </c>
      <c r="C390" s="9" t="str">
        <f ca="1">+WORLDCUP!BD65</f>
        <v>Saudi Arabia</v>
      </c>
      <c r="D390" s="9" t="str">
        <f ca="1">+WORLDCUP!BD64</f>
        <v>Iran</v>
      </c>
      <c r="E390" s="9" t="str">
        <f ca="1">+WORLDCUP!BD59</f>
        <v>Qatar</v>
      </c>
      <c r="F390" s="9" t="str">
        <f ca="1">+WORLDCUP!BD60</f>
        <v>Haiti</v>
      </c>
      <c r="G390" s="9" t="str">
        <f ca="1">+WORLDCUP!BD58</f>
        <v>South Korea</v>
      </c>
      <c r="H390" s="9" t="str">
        <f ca="1">+WORLDCUP!BD63</f>
        <v>Sweden</v>
      </c>
      <c r="I390" s="9" t="str">
        <f ca="1">+WORLDCUP!BD66</f>
        <v>Iraq</v>
      </c>
      <c r="J390" s="9" t="str">
        <f ca="1">+WORLDCUP!BD68</f>
        <v>Uzbekistan</v>
      </c>
      <c r="N390" s="16" t="s">
        <v>867</v>
      </c>
      <c r="O390" s="16">
        <v>389</v>
      </c>
      <c r="P390" s="16" t="s">
        <v>446</v>
      </c>
      <c r="Q390" s="16" t="s">
        <v>445</v>
      </c>
      <c r="R390" s="16" t="s">
        <v>91</v>
      </c>
      <c r="S390" s="16" t="s">
        <v>92</v>
      </c>
      <c r="T390" s="16" t="s">
        <v>90</v>
      </c>
      <c r="U390" s="16" t="s">
        <v>95</v>
      </c>
      <c r="V390" s="16" t="s">
        <v>450</v>
      </c>
      <c r="W390" s="16" t="s">
        <v>452</v>
      </c>
    </row>
    <row r="391" spans="1:23" x14ac:dyDescent="0.2">
      <c r="A391" s="9" t="s">
        <v>866</v>
      </c>
      <c r="B391" s="9">
        <f ca="1">+IF(A391=WORLDCUP!$BI$112,1,0)</f>
        <v>0</v>
      </c>
      <c r="C391" s="9" t="str">
        <f ca="1">+WORLDCUP!BD65</f>
        <v>Saudi Arabia</v>
      </c>
      <c r="D391" s="9" t="str">
        <f ca="1">+WORLDCUP!BD64</f>
        <v>Iran</v>
      </c>
      <c r="E391" s="9" t="str">
        <f ca="1">+WORLDCUP!BD59</f>
        <v>Qatar</v>
      </c>
      <c r="F391" s="9" t="str">
        <f ca="1">+WORLDCUP!BD60</f>
        <v>Haiti</v>
      </c>
      <c r="G391" s="9" t="str">
        <f ca="1">+WORLDCUP!BD58</f>
        <v>South Korea</v>
      </c>
      <c r="H391" s="9" t="str">
        <f ca="1">+WORLDCUP!BD63</f>
        <v>Sweden</v>
      </c>
      <c r="I391" s="9" t="str">
        <f ca="1">+WORLDCUP!BD66</f>
        <v>Iraq</v>
      </c>
      <c r="J391" s="9" t="str">
        <f ca="1">+WORLDCUP!BD67</f>
        <v>Austria</v>
      </c>
      <c r="N391" s="16" t="s">
        <v>866</v>
      </c>
      <c r="O391" s="16">
        <v>390</v>
      </c>
      <c r="P391" s="16" t="s">
        <v>446</v>
      </c>
      <c r="Q391" s="16" t="s">
        <v>445</v>
      </c>
      <c r="R391" s="16" t="s">
        <v>91</v>
      </c>
      <c r="S391" s="16" t="s">
        <v>92</v>
      </c>
      <c r="T391" s="16" t="s">
        <v>90</v>
      </c>
      <c r="U391" s="16" t="s">
        <v>95</v>
      </c>
      <c r="V391" s="16" t="s">
        <v>450</v>
      </c>
      <c r="W391" s="16" t="s">
        <v>451</v>
      </c>
    </row>
    <row r="392" spans="1:23" x14ac:dyDescent="0.2">
      <c r="A392" s="9" t="s">
        <v>865</v>
      </c>
      <c r="B392" s="9">
        <f ca="1">+IF(A392=WORLDCUP!$BI$112,1,0)</f>
        <v>0</v>
      </c>
      <c r="C392" s="9" t="str">
        <f ca="1">+WORLDCUP!BD62</f>
        <v>Ivory Coast</v>
      </c>
      <c r="D392" s="9" t="str">
        <f ca="1">+WORLDCUP!BD67</f>
        <v>Austria</v>
      </c>
      <c r="E392" s="9" t="str">
        <f ca="1">+WORLDCUP!BD59</f>
        <v>Qatar</v>
      </c>
      <c r="F392" s="9" t="str">
        <f ca="1">+WORLDCUP!BD58</f>
        <v>South Korea</v>
      </c>
      <c r="G392" s="9" t="str">
        <f ca="1">+WORLDCUP!BD66</f>
        <v>Iraq</v>
      </c>
      <c r="H392" s="9" t="str">
        <f ca="1">+WORLDCUP!BD60</f>
        <v>Haiti</v>
      </c>
      <c r="I392" s="9" t="str">
        <f ca="1">+WORLDCUP!BD69</f>
        <v>Ghana</v>
      </c>
      <c r="J392" s="9" t="str">
        <f ca="1">+WORLDCUP!BD68</f>
        <v>Uzbekistan</v>
      </c>
      <c r="N392" s="16" t="s">
        <v>865</v>
      </c>
      <c r="O392" s="16">
        <v>391</v>
      </c>
      <c r="P392" s="16" t="s">
        <v>94</v>
      </c>
      <c r="Q392" s="16" t="s">
        <v>451</v>
      </c>
      <c r="R392" s="16" t="s">
        <v>91</v>
      </c>
      <c r="S392" s="16" t="s">
        <v>90</v>
      </c>
      <c r="T392" s="16" t="s">
        <v>450</v>
      </c>
      <c r="U392" s="16" t="s">
        <v>92</v>
      </c>
      <c r="V392" s="16" t="s">
        <v>453</v>
      </c>
      <c r="W392" s="16" t="s">
        <v>452</v>
      </c>
    </row>
    <row r="393" spans="1:23" x14ac:dyDescent="0.2">
      <c r="A393" s="9" t="s">
        <v>864</v>
      </c>
      <c r="B393" s="9">
        <f ca="1">+IF(A393=WORLDCUP!$BI$112,1,0)</f>
        <v>0</v>
      </c>
      <c r="C393" s="9" t="str">
        <f ca="1">+WORLDCUP!BD62</f>
        <v>Ivory Coast</v>
      </c>
      <c r="D393" s="9" t="str">
        <f ca="1">+WORLDCUP!BD67</f>
        <v>Austria</v>
      </c>
      <c r="E393" s="9" t="str">
        <f ca="1">+WORLDCUP!BD59</f>
        <v>Qatar</v>
      </c>
      <c r="F393" s="9" t="str">
        <f ca="1">+WORLDCUP!BD60</f>
        <v>Haiti</v>
      </c>
      <c r="G393" s="9" t="str">
        <f ca="1">+WORLDCUP!BD58</f>
        <v>South Korea</v>
      </c>
      <c r="H393" s="9" t="str">
        <f ca="1">+WORLDCUP!BD65</f>
        <v>Saudi Arabia</v>
      </c>
      <c r="I393" s="9" t="str">
        <f ca="1">+WORLDCUP!BD69</f>
        <v>Ghana</v>
      </c>
      <c r="J393" s="9" t="str">
        <f ca="1">+WORLDCUP!BD68</f>
        <v>Uzbekistan</v>
      </c>
      <c r="N393" s="16" t="s">
        <v>864</v>
      </c>
      <c r="O393" s="16">
        <v>392</v>
      </c>
      <c r="P393" s="16" t="s">
        <v>94</v>
      </c>
      <c r="Q393" s="16" t="s">
        <v>451</v>
      </c>
      <c r="R393" s="16" t="s">
        <v>91</v>
      </c>
      <c r="S393" s="16" t="s">
        <v>92</v>
      </c>
      <c r="T393" s="16" t="s">
        <v>90</v>
      </c>
      <c r="U393" s="16" t="s">
        <v>446</v>
      </c>
      <c r="V393" s="16" t="s">
        <v>453</v>
      </c>
      <c r="W393" s="16" t="s">
        <v>452</v>
      </c>
    </row>
    <row r="394" spans="1:23" x14ac:dyDescent="0.2">
      <c r="A394" s="9" t="s">
        <v>863</v>
      </c>
      <c r="B394" s="9">
        <f ca="1">+IF(A394=WORLDCUP!$BI$112,1,0)</f>
        <v>0</v>
      </c>
      <c r="C394" s="9" t="str">
        <f ca="1">+WORLDCUP!BD62</f>
        <v>Ivory Coast</v>
      </c>
      <c r="D394" s="9" t="str">
        <f ca="1">+WORLDCUP!BD66</f>
        <v>Iraq</v>
      </c>
      <c r="E394" s="9" t="str">
        <f ca="1">+WORLDCUP!BD59</f>
        <v>Qatar</v>
      </c>
      <c r="F394" s="9" t="str">
        <f ca="1">+WORLDCUP!BD60</f>
        <v>Haiti</v>
      </c>
      <c r="G394" s="9" t="str">
        <f ca="1">+WORLDCUP!BD58</f>
        <v>South Korea</v>
      </c>
      <c r="H394" s="9" t="str">
        <f ca="1">+WORLDCUP!BD65</f>
        <v>Saudi Arabia</v>
      </c>
      <c r="I394" s="9" t="str">
        <f ca="1">+WORLDCUP!BD69</f>
        <v>Ghana</v>
      </c>
      <c r="J394" s="9" t="str">
        <f ca="1">+WORLDCUP!BD68</f>
        <v>Uzbekistan</v>
      </c>
      <c r="N394" s="16" t="s">
        <v>863</v>
      </c>
      <c r="O394" s="16">
        <v>393</v>
      </c>
      <c r="P394" s="16" t="s">
        <v>94</v>
      </c>
      <c r="Q394" s="16" t="s">
        <v>450</v>
      </c>
      <c r="R394" s="16" t="s">
        <v>91</v>
      </c>
      <c r="S394" s="16" t="s">
        <v>92</v>
      </c>
      <c r="T394" s="16" t="s">
        <v>90</v>
      </c>
      <c r="U394" s="16" t="s">
        <v>446</v>
      </c>
      <c r="V394" s="16" t="s">
        <v>453</v>
      </c>
      <c r="W394" s="16" t="s">
        <v>452</v>
      </c>
    </row>
    <row r="395" spans="1:23" x14ac:dyDescent="0.2">
      <c r="A395" s="9" t="s">
        <v>862</v>
      </c>
      <c r="B395" s="9">
        <f ca="1">+IF(A395=WORLDCUP!$BI$112,1,0)</f>
        <v>0</v>
      </c>
      <c r="C395" s="9" t="str">
        <f ca="1">+WORLDCUP!BD62</f>
        <v>Ivory Coast</v>
      </c>
      <c r="D395" s="9" t="str">
        <f ca="1">+WORLDCUP!BD67</f>
        <v>Austria</v>
      </c>
      <c r="E395" s="9" t="str">
        <f ca="1">+WORLDCUP!BD59</f>
        <v>Qatar</v>
      </c>
      <c r="F395" s="9" t="str">
        <f ca="1">+WORLDCUP!BD60</f>
        <v>Haiti</v>
      </c>
      <c r="G395" s="9" t="str">
        <f ca="1">+WORLDCUP!BD58</f>
        <v>South Korea</v>
      </c>
      <c r="H395" s="9" t="str">
        <f ca="1">+WORLDCUP!BD65</f>
        <v>Saudi Arabia</v>
      </c>
      <c r="I395" s="9" t="str">
        <f ca="1">+WORLDCUP!BD69</f>
        <v>Ghana</v>
      </c>
      <c r="J395" s="9" t="str">
        <f ca="1">+WORLDCUP!BD66</f>
        <v>Iraq</v>
      </c>
      <c r="N395" s="16" t="s">
        <v>862</v>
      </c>
      <c r="O395" s="16">
        <v>394</v>
      </c>
      <c r="P395" s="16" t="s">
        <v>94</v>
      </c>
      <c r="Q395" s="16" t="s">
        <v>451</v>
      </c>
      <c r="R395" s="16" t="s">
        <v>91</v>
      </c>
      <c r="S395" s="16" t="s">
        <v>92</v>
      </c>
      <c r="T395" s="16" t="s">
        <v>90</v>
      </c>
      <c r="U395" s="16" t="s">
        <v>446</v>
      </c>
      <c r="V395" s="16" t="s">
        <v>453</v>
      </c>
      <c r="W395" s="16" t="s">
        <v>450</v>
      </c>
    </row>
    <row r="396" spans="1:23" x14ac:dyDescent="0.2">
      <c r="A396" s="9" t="s">
        <v>861</v>
      </c>
      <c r="B396" s="9">
        <f ca="1">+IF(A396=WORLDCUP!$BI$112,1,0)</f>
        <v>0</v>
      </c>
      <c r="C396" s="9" t="str">
        <f ca="1">+WORLDCUP!BD62</f>
        <v>Ivory Coast</v>
      </c>
      <c r="D396" s="9" t="str">
        <f ca="1">+WORLDCUP!BD67</f>
        <v>Austria</v>
      </c>
      <c r="E396" s="9" t="str">
        <f ca="1">+WORLDCUP!BD59</f>
        <v>Qatar</v>
      </c>
      <c r="F396" s="9" t="str">
        <f ca="1">+WORLDCUP!BD60</f>
        <v>Haiti</v>
      </c>
      <c r="G396" s="9" t="str">
        <f ca="1">+WORLDCUP!BD58</f>
        <v>South Korea</v>
      </c>
      <c r="H396" s="9" t="str">
        <f ca="1">+WORLDCUP!BD65</f>
        <v>Saudi Arabia</v>
      </c>
      <c r="I396" s="9" t="str">
        <f ca="1">+WORLDCUP!BD66</f>
        <v>Iraq</v>
      </c>
      <c r="J396" s="9" t="str">
        <f ca="1">+WORLDCUP!BD68</f>
        <v>Uzbekistan</v>
      </c>
      <c r="N396" s="16" t="s">
        <v>861</v>
      </c>
      <c r="O396" s="16">
        <v>395</v>
      </c>
      <c r="P396" s="16" t="s">
        <v>94</v>
      </c>
      <c r="Q396" s="16" t="s">
        <v>451</v>
      </c>
      <c r="R396" s="16" t="s">
        <v>91</v>
      </c>
      <c r="S396" s="16" t="s">
        <v>92</v>
      </c>
      <c r="T396" s="16" t="s">
        <v>90</v>
      </c>
      <c r="U396" s="16" t="s">
        <v>446</v>
      </c>
      <c r="V396" s="16" t="s">
        <v>450</v>
      </c>
      <c r="W396" s="16" t="s">
        <v>452</v>
      </c>
    </row>
    <row r="397" spans="1:23" x14ac:dyDescent="0.2">
      <c r="A397" s="9" t="s">
        <v>860</v>
      </c>
      <c r="B397" s="9">
        <f ca="1">+IF(A397=WORLDCUP!$BI$112,1,0)</f>
        <v>0</v>
      </c>
      <c r="C397" s="9" t="str">
        <f ca="1">+WORLDCUP!BD62</f>
        <v>Ivory Coast</v>
      </c>
      <c r="D397" s="9" t="str">
        <f ca="1">+WORLDCUP!BD67</f>
        <v>Austria</v>
      </c>
      <c r="E397" s="9" t="str">
        <f ca="1">+WORLDCUP!BD59</f>
        <v>Qatar</v>
      </c>
      <c r="F397" s="9" t="str">
        <f ca="1">+WORLDCUP!BD60</f>
        <v>Haiti</v>
      </c>
      <c r="G397" s="9" t="str">
        <f ca="1">+WORLDCUP!BD58</f>
        <v>South Korea</v>
      </c>
      <c r="H397" s="9" t="str">
        <f ca="1">+WORLDCUP!BD64</f>
        <v>Iran</v>
      </c>
      <c r="I397" s="9" t="str">
        <f ca="1">+WORLDCUP!BD69</f>
        <v>Ghana</v>
      </c>
      <c r="J397" s="9" t="str">
        <f ca="1">+WORLDCUP!BD68</f>
        <v>Uzbekistan</v>
      </c>
      <c r="N397" s="16" t="s">
        <v>860</v>
      </c>
      <c r="O397" s="16">
        <v>396</v>
      </c>
      <c r="P397" s="16" t="s">
        <v>94</v>
      </c>
      <c r="Q397" s="16" t="s">
        <v>451</v>
      </c>
      <c r="R397" s="16" t="s">
        <v>91</v>
      </c>
      <c r="S397" s="16" t="s">
        <v>92</v>
      </c>
      <c r="T397" s="16" t="s">
        <v>90</v>
      </c>
      <c r="U397" s="16" t="s">
        <v>445</v>
      </c>
      <c r="V397" s="16" t="s">
        <v>453</v>
      </c>
      <c r="W397" s="16" t="s">
        <v>452</v>
      </c>
    </row>
    <row r="398" spans="1:23" x14ac:dyDescent="0.2">
      <c r="A398" s="9" t="s">
        <v>859</v>
      </c>
      <c r="B398" s="9">
        <f ca="1">+IF(A398=WORLDCUP!$BI$112,1,0)</f>
        <v>0</v>
      </c>
      <c r="C398" s="9" t="str">
        <f ca="1">+WORLDCUP!BD62</f>
        <v>Ivory Coast</v>
      </c>
      <c r="D398" s="9" t="str">
        <f ca="1">+WORLDCUP!BD64</f>
        <v>Iran</v>
      </c>
      <c r="E398" s="9" t="str">
        <f ca="1">+WORLDCUP!BD59</f>
        <v>Qatar</v>
      </c>
      <c r="F398" s="9" t="str">
        <f ca="1">+WORLDCUP!BD58</f>
        <v>South Korea</v>
      </c>
      <c r="G398" s="9" t="str">
        <f ca="1">+WORLDCUP!BD66</f>
        <v>Iraq</v>
      </c>
      <c r="H398" s="9" t="str">
        <f ca="1">+WORLDCUP!BD60</f>
        <v>Haiti</v>
      </c>
      <c r="I398" s="9" t="str">
        <f ca="1">+WORLDCUP!BD69</f>
        <v>Ghana</v>
      </c>
      <c r="J398" s="9" t="str">
        <f ca="1">+WORLDCUP!BD68</f>
        <v>Uzbekistan</v>
      </c>
      <c r="N398" s="16" t="s">
        <v>859</v>
      </c>
      <c r="O398" s="16">
        <v>397</v>
      </c>
      <c r="P398" s="16" t="s">
        <v>94</v>
      </c>
      <c r="Q398" s="16" t="s">
        <v>445</v>
      </c>
      <c r="R398" s="16" t="s">
        <v>91</v>
      </c>
      <c r="S398" s="16" t="s">
        <v>90</v>
      </c>
      <c r="T398" s="16" t="s">
        <v>450</v>
      </c>
      <c r="U398" s="16" t="s">
        <v>92</v>
      </c>
      <c r="V398" s="16" t="s">
        <v>453</v>
      </c>
      <c r="W398" s="16" t="s">
        <v>452</v>
      </c>
    </row>
    <row r="399" spans="1:23" x14ac:dyDescent="0.2">
      <c r="A399" s="9" t="s">
        <v>858</v>
      </c>
      <c r="B399" s="9">
        <f ca="1">+IF(A399=WORLDCUP!$BI$112,1,0)</f>
        <v>0</v>
      </c>
      <c r="C399" s="9" t="str">
        <f ca="1">+WORLDCUP!BD62</f>
        <v>Ivory Coast</v>
      </c>
      <c r="D399" s="9" t="str">
        <f ca="1">+WORLDCUP!BD67</f>
        <v>Austria</v>
      </c>
      <c r="E399" s="9" t="str">
        <f ca="1">+WORLDCUP!BD59</f>
        <v>Qatar</v>
      </c>
      <c r="F399" s="9" t="str">
        <f ca="1">+WORLDCUP!BD60</f>
        <v>Haiti</v>
      </c>
      <c r="G399" s="9" t="str">
        <f ca="1">+WORLDCUP!BD58</f>
        <v>South Korea</v>
      </c>
      <c r="H399" s="9" t="str">
        <f ca="1">+WORLDCUP!BD64</f>
        <v>Iran</v>
      </c>
      <c r="I399" s="9" t="str">
        <f ca="1">+WORLDCUP!BD69</f>
        <v>Ghana</v>
      </c>
      <c r="J399" s="9" t="str">
        <f ca="1">+WORLDCUP!BD66</f>
        <v>Iraq</v>
      </c>
      <c r="N399" s="16" t="s">
        <v>858</v>
      </c>
      <c r="O399" s="16">
        <v>398</v>
      </c>
      <c r="P399" s="16" t="s">
        <v>94</v>
      </c>
      <c r="Q399" s="16" t="s">
        <v>451</v>
      </c>
      <c r="R399" s="16" t="s">
        <v>91</v>
      </c>
      <c r="S399" s="16" t="s">
        <v>92</v>
      </c>
      <c r="T399" s="16" t="s">
        <v>90</v>
      </c>
      <c r="U399" s="16" t="s">
        <v>445</v>
      </c>
      <c r="V399" s="16" t="s">
        <v>453</v>
      </c>
      <c r="W399" s="16" t="s">
        <v>450</v>
      </c>
    </row>
    <row r="400" spans="1:23" x14ac:dyDescent="0.2">
      <c r="A400" s="9" t="s">
        <v>857</v>
      </c>
      <c r="B400" s="9">
        <f ca="1">+IF(A400=WORLDCUP!$BI$112,1,0)</f>
        <v>0</v>
      </c>
      <c r="C400" s="9" t="str">
        <f ca="1">+WORLDCUP!BD62</f>
        <v>Ivory Coast</v>
      </c>
      <c r="D400" s="9" t="str">
        <f ca="1">+WORLDCUP!BD67</f>
        <v>Austria</v>
      </c>
      <c r="E400" s="9" t="str">
        <f ca="1">+WORLDCUP!BD59</f>
        <v>Qatar</v>
      </c>
      <c r="F400" s="9" t="str">
        <f ca="1">+WORLDCUP!BD60</f>
        <v>Haiti</v>
      </c>
      <c r="G400" s="9" t="str">
        <f ca="1">+WORLDCUP!BD58</f>
        <v>South Korea</v>
      </c>
      <c r="H400" s="9" t="str">
        <f ca="1">+WORLDCUP!BD64</f>
        <v>Iran</v>
      </c>
      <c r="I400" s="9" t="str">
        <f ca="1">+WORLDCUP!BD66</f>
        <v>Iraq</v>
      </c>
      <c r="J400" s="9" t="str">
        <f ca="1">+WORLDCUP!BD68</f>
        <v>Uzbekistan</v>
      </c>
      <c r="N400" s="16" t="s">
        <v>857</v>
      </c>
      <c r="O400" s="16">
        <v>399</v>
      </c>
      <c r="P400" s="16" t="s">
        <v>94</v>
      </c>
      <c r="Q400" s="16" t="s">
        <v>451</v>
      </c>
      <c r="R400" s="16" t="s">
        <v>91</v>
      </c>
      <c r="S400" s="16" t="s">
        <v>92</v>
      </c>
      <c r="T400" s="16" t="s">
        <v>90</v>
      </c>
      <c r="U400" s="16" t="s">
        <v>445</v>
      </c>
      <c r="V400" s="16" t="s">
        <v>450</v>
      </c>
      <c r="W400" s="16" t="s">
        <v>452</v>
      </c>
    </row>
    <row r="401" spans="1:23" x14ac:dyDescent="0.2">
      <c r="A401" s="9" t="s">
        <v>856</v>
      </c>
      <c r="B401" s="9">
        <f ca="1">+IF(A401=WORLDCUP!$BI$112,1,0)</f>
        <v>0</v>
      </c>
      <c r="C401" s="9" t="str">
        <f ca="1">+WORLDCUP!BD62</f>
        <v>Ivory Coast</v>
      </c>
      <c r="D401" s="9" t="str">
        <f ca="1">+WORLDCUP!BD64</f>
        <v>Iran</v>
      </c>
      <c r="E401" s="9" t="str">
        <f ca="1">+WORLDCUP!BD59</f>
        <v>Qatar</v>
      </c>
      <c r="F401" s="9" t="str">
        <f ca="1">+WORLDCUP!BD60</f>
        <v>Haiti</v>
      </c>
      <c r="G401" s="9" t="str">
        <f ca="1">+WORLDCUP!BD58</f>
        <v>South Korea</v>
      </c>
      <c r="H401" s="9" t="str">
        <f ca="1">+WORLDCUP!BD65</f>
        <v>Saudi Arabia</v>
      </c>
      <c r="I401" s="9" t="str">
        <f ca="1">+WORLDCUP!BD69</f>
        <v>Ghana</v>
      </c>
      <c r="J401" s="9" t="str">
        <f ca="1">+WORLDCUP!BD68</f>
        <v>Uzbekistan</v>
      </c>
      <c r="N401" s="16" t="s">
        <v>856</v>
      </c>
      <c r="O401" s="16">
        <v>400</v>
      </c>
      <c r="P401" s="16" t="s">
        <v>94</v>
      </c>
      <c r="Q401" s="16" t="s">
        <v>445</v>
      </c>
      <c r="R401" s="16" t="s">
        <v>91</v>
      </c>
      <c r="S401" s="16" t="s">
        <v>92</v>
      </c>
      <c r="T401" s="16" t="s">
        <v>90</v>
      </c>
      <c r="U401" s="16" t="s">
        <v>446</v>
      </c>
      <c r="V401" s="16" t="s">
        <v>453</v>
      </c>
      <c r="W401" s="16" t="s">
        <v>452</v>
      </c>
    </row>
    <row r="402" spans="1:23" x14ac:dyDescent="0.2">
      <c r="A402" s="9" t="s">
        <v>855</v>
      </c>
      <c r="B402" s="9">
        <f ca="1">+IF(A402=WORLDCUP!$BI$112,1,0)</f>
        <v>0</v>
      </c>
      <c r="C402" s="9" t="str">
        <f ca="1">+WORLDCUP!BD65</f>
        <v>Saudi Arabia</v>
      </c>
      <c r="D402" s="9" t="str">
        <f ca="1">+WORLDCUP!BD67</f>
        <v>Austria</v>
      </c>
      <c r="E402" s="9" t="str">
        <f ca="1">+WORLDCUP!BD59</f>
        <v>Qatar</v>
      </c>
      <c r="F402" s="9" t="str">
        <f ca="1">+WORLDCUP!BD60</f>
        <v>Haiti</v>
      </c>
      <c r="G402" s="9" t="str">
        <f ca="1">+WORLDCUP!BD58</f>
        <v>South Korea</v>
      </c>
      <c r="H402" s="9" t="str">
        <f ca="1">+WORLDCUP!BD64</f>
        <v>Iran</v>
      </c>
      <c r="I402" s="9" t="str">
        <f ca="1">+WORLDCUP!BD69</f>
        <v>Ghana</v>
      </c>
      <c r="J402" s="9" t="str">
        <f ca="1">+WORLDCUP!BD62</f>
        <v>Ivory Coast</v>
      </c>
      <c r="N402" s="16" t="s">
        <v>855</v>
      </c>
      <c r="O402" s="16">
        <v>401</v>
      </c>
      <c r="P402" s="16" t="s">
        <v>446</v>
      </c>
      <c r="Q402" s="16" t="s">
        <v>451</v>
      </c>
      <c r="R402" s="16" t="s">
        <v>91</v>
      </c>
      <c r="S402" s="16" t="s">
        <v>92</v>
      </c>
      <c r="T402" s="16" t="s">
        <v>90</v>
      </c>
      <c r="U402" s="16" t="s">
        <v>445</v>
      </c>
      <c r="V402" s="16" t="s">
        <v>453</v>
      </c>
      <c r="W402" s="16" t="s">
        <v>94</v>
      </c>
    </row>
    <row r="403" spans="1:23" x14ac:dyDescent="0.2">
      <c r="A403" s="9" t="s">
        <v>854</v>
      </c>
      <c r="B403" s="9">
        <f ca="1">+IF(A403=WORLDCUP!$BI$112,1,0)</f>
        <v>0</v>
      </c>
      <c r="C403" s="9" t="str">
        <f ca="1">+WORLDCUP!BD65</f>
        <v>Saudi Arabia</v>
      </c>
      <c r="D403" s="9" t="str">
        <f ca="1">+WORLDCUP!BD67</f>
        <v>Austria</v>
      </c>
      <c r="E403" s="9" t="str">
        <f ca="1">+WORLDCUP!BD59</f>
        <v>Qatar</v>
      </c>
      <c r="F403" s="9" t="str">
        <f ca="1">+WORLDCUP!BD60</f>
        <v>Haiti</v>
      </c>
      <c r="G403" s="9" t="str">
        <f ca="1">+WORLDCUP!BD58</f>
        <v>South Korea</v>
      </c>
      <c r="H403" s="9" t="str">
        <f ca="1">+WORLDCUP!BD64</f>
        <v>Iran</v>
      </c>
      <c r="I403" s="9" t="str">
        <f ca="1">+WORLDCUP!BD62</f>
        <v>Ivory Coast</v>
      </c>
      <c r="J403" s="9" t="str">
        <f ca="1">+WORLDCUP!BD68</f>
        <v>Uzbekistan</v>
      </c>
      <c r="N403" s="16" t="s">
        <v>854</v>
      </c>
      <c r="O403" s="16">
        <v>402</v>
      </c>
      <c r="P403" s="16" t="s">
        <v>446</v>
      </c>
      <c r="Q403" s="16" t="s">
        <v>451</v>
      </c>
      <c r="R403" s="16" t="s">
        <v>91</v>
      </c>
      <c r="S403" s="16" t="s">
        <v>92</v>
      </c>
      <c r="T403" s="16" t="s">
        <v>90</v>
      </c>
      <c r="U403" s="16" t="s">
        <v>445</v>
      </c>
      <c r="V403" s="16" t="s">
        <v>94</v>
      </c>
      <c r="W403" s="16" t="s">
        <v>452</v>
      </c>
    </row>
    <row r="404" spans="1:23" x14ac:dyDescent="0.2">
      <c r="A404" s="9" t="s">
        <v>853</v>
      </c>
      <c r="B404" s="9">
        <f ca="1">+IF(A404=WORLDCUP!$BI$112,1,0)</f>
        <v>0</v>
      </c>
      <c r="C404" s="9" t="str">
        <f ca="1">+WORLDCUP!BD62</f>
        <v>Ivory Coast</v>
      </c>
      <c r="D404" s="9" t="str">
        <f ca="1">+WORLDCUP!BD64</f>
        <v>Iran</v>
      </c>
      <c r="E404" s="9" t="str">
        <f ca="1">+WORLDCUP!BD59</f>
        <v>Qatar</v>
      </c>
      <c r="F404" s="9" t="str">
        <f ca="1">+WORLDCUP!BD60</f>
        <v>Haiti</v>
      </c>
      <c r="G404" s="9" t="str">
        <f ca="1">+WORLDCUP!BD58</f>
        <v>South Korea</v>
      </c>
      <c r="H404" s="9" t="str">
        <f ca="1">+WORLDCUP!BD65</f>
        <v>Saudi Arabia</v>
      </c>
      <c r="I404" s="9" t="str">
        <f ca="1">+WORLDCUP!BD69</f>
        <v>Ghana</v>
      </c>
      <c r="J404" s="9" t="str">
        <f ca="1">+WORLDCUP!BD66</f>
        <v>Iraq</v>
      </c>
      <c r="N404" s="16" t="s">
        <v>853</v>
      </c>
      <c r="O404" s="16">
        <v>403</v>
      </c>
      <c r="P404" s="16" t="s">
        <v>94</v>
      </c>
      <c r="Q404" s="16" t="s">
        <v>445</v>
      </c>
      <c r="R404" s="16" t="s">
        <v>91</v>
      </c>
      <c r="S404" s="16" t="s">
        <v>92</v>
      </c>
      <c r="T404" s="16" t="s">
        <v>90</v>
      </c>
      <c r="U404" s="16" t="s">
        <v>446</v>
      </c>
      <c r="V404" s="16" t="s">
        <v>453</v>
      </c>
      <c r="W404" s="16" t="s">
        <v>450</v>
      </c>
    </row>
    <row r="405" spans="1:23" x14ac:dyDescent="0.2">
      <c r="A405" s="9" t="s">
        <v>852</v>
      </c>
      <c r="B405" s="9">
        <f ca="1">+IF(A405=WORLDCUP!$BI$112,1,0)</f>
        <v>0</v>
      </c>
      <c r="C405" s="9" t="str">
        <f ca="1">+WORLDCUP!BD62</f>
        <v>Ivory Coast</v>
      </c>
      <c r="D405" s="9" t="str">
        <f ca="1">+WORLDCUP!BD64</f>
        <v>Iran</v>
      </c>
      <c r="E405" s="9" t="str">
        <f ca="1">+WORLDCUP!BD59</f>
        <v>Qatar</v>
      </c>
      <c r="F405" s="9" t="str">
        <f ca="1">+WORLDCUP!BD60</f>
        <v>Haiti</v>
      </c>
      <c r="G405" s="9" t="str">
        <f ca="1">+WORLDCUP!BD58</f>
        <v>South Korea</v>
      </c>
      <c r="H405" s="9" t="str">
        <f ca="1">+WORLDCUP!BD65</f>
        <v>Saudi Arabia</v>
      </c>
      <c r="I405" s="9" t="str">
        <f ca="1">+WORLDCUP!BD66</f>
        <v>Iraq</v>
      </c>
      <c r="J405" s="9" t="str">
        <f ca="1">+WORLDCUP!BD68</f>
        <v>Uzbekistan</v>
      </c>
      <c r="N405" s="16" t="s">
        <v>852</v>
      </c>
      <c r="O405" s="16">
        <v>404</v>
      </c>
      <c r="P405" s="16" t="s">
        <v>94</v>
      </c>
      <c r="Q405" s="16" t="s">
        <v>445</v>
      </c>
      <c r="R405" s="16" t="s">
        <v>91</v>
      </c>
      <c r="S405" s="16" t="s">
        <v>92</v>
      </c>
      <c r="T405" s="16" t="s">
        <v>90</v>
      </c>
      <c r="U405" s="16" t="s">
        <v>446</v>
      </c>
      <c r="V405" s="16" t="s">
        <v>450</v>
      </c>
      <c r="W405" s="16" t="s">
        <v>452</v>
      </c>
    </row>
    <row r="406" spans="1:23" x14ac:dyDescent="0.2">
      <c r="A406" s="9" t="s">
        <v>851</v>
      </c>
      <c r="B406" s="9">
        <f ca="1">+IF(A406=WORLDCUP!$BI$112,1,0)</f>
        <v>0</v>
      </c>
      <c r="C406" s="9" t="str">
        <f ca="1">+WORLDCUP!BD65</f>
        <v>Saudi Arabia</v>
      </c>
      <c r="D406" s="9" t="str">
        <f ca="1">+WORLDCUP!BD67</f>
        <v>Austria</v>
      </c>
      <c r="E406" s="9" t="str">
        <f ca="1">+WORLDCUP!BD59</f>
        <v>Qatar</v>
      </c>
      <c r="F406" s="9" t="str">
        <f ca="1">+WORLDCUP!BD60</f>
        <v>Haiti</v>
      </c>
      <c r="G406" s="9" t="str">
        <f ca="1">+WORLDCUP!BD58</f>
        <v>South Korea</v>
      </c>
      <c r="H406" s="9" t="str">
        <f ca="1">+WORLDCUP!BD64</f>
        <v>Iran</v>
      </c>
      <c r="I406" s="9" t="str">
        <f ca="1">+WORLDCUP!BD62</f>
        <v>Ivory Coast</v>
      </c>
      <c r="J406" s="9" t="str">
        <f ca="1">+WORLDCUP!BD66</f>
        <v>Iraq</v>
      </c>
      <c r="N406" s="16" t="s">
        <v>851</v>
      </c>
      <c r="O406" s="16">
        <v>405</v>
      </c>
      <c r="P406" s="16" t="s">
        <v>446</v>
      </c>
      <c r="Q406" s="16" t="s">
        <v>451</v>
      </c>
      <c r="R406" s="16" t="s">
        <v>91</v>
      </c>
      <c r="S406" s="16" t="s">
        <v>92</v>
      </c>
      <c r="T406" s="16" t="s">
        <v>90</v>
      </c>
      <c r="U406" s="16" t="s">
        <v>445</v>
      </c>
      <c r="V406" s="16" t="s">
        <v>94</v>
      </c>
      <c r="W406" s="16" t="s">
        <v>450</v>
      </c>
    </row>
    <row r="407" spans="1:23" x14ac:dyDescent="0.2">
      <c r="A407" s="9" t="s">
        <v>850</v>
      </c>
      <c r="B407" s="9">
        <f ca="1">+IF(A407=WORLDCUP!$BI$112,1,0)</f>
        <v>0</v>
      </c>
      <c r="C407" s="9" t="str">
        <f ca="1">+WORLDCUP!BD62</f>
        <v>Ivory Coast</v>
      </c>
      <c r="D407" s="9" t="str">
        <f ca="1">+WORLDCUP!BD67</f>
        <v>Austria</v>
      </c>
      <c r="E407" s="9" t="str">
        <f ca="1">+WORLDCUP!BD59</f>
        <v>Qatar</v>
      </c>
      <c r="F407" s="9" t="str">
        <f ca="1">+WORLDCUP!BD60</f>
        <v>Haiti</v>
      </c>
      <c r="G407" s="9" t="str">
        <f ca="1">+WORLDCUP!BD58</f>
        <v>South Korea</v>
      </c>
      <c r="H407" s="9" t="str">
        <f ca="1">+WORLDCUP!BD63</f>
        <v>Sweden</v>
      </c>
      <c r="I407" s="9" t="str">
        <f ca="1">+WORLDCUP!BD69</f>
        <v>Ghana</v>
      </c>
      <c r="J407" s="9" t="str">
        <f ca="1">+WORLDCUP!BD68</f>
        <v>Uzbekistan</v>
      </c>
      <c r="N407" s="16" t="s">
        <v>850</v>
      </c>
      <c r="O407" s="16">
        <v>406</v>
      </c>
      <c r="P407" s="16" t="s">
        <v>94</v>
      </c>
      <c r="Q407" s="16" t="s">
        <v>451</v>
      </c>
      <c r="R407" s="16" t="s">
        <v>91</v>
      </c>
      <c r="S407" s="16" t="s">
        <v>92</v>
      </c>
      <c r="T407" s="16" t="s">
        <v>90</v>
      </c>
      <c r="U407" s="16" t="s">
        <v>95</v>
      </c>
      <c r="V407" s="16" t="s">
        <v>453</v>
      </c>
      <c r="W407" s="16" t="s">
        <v>452</v>
      </c>
    </row>
    <row r="408" spans="1:23" x14ac:dyDescent="0.2">
      <c r="A408" s="9" t="s">
        <v>849</v>
      </c>
      <c r="B408" s="9">
        <f ca="1">+IF(A408=WORLDCUP!$BI$112,1,0)</f>
        <v>0</v>
      </c>
      <c r="C408" s="9" t="str">
        <f ca="1">+WORLDCUP!BD62</f>
        <v>Ivory Coast</v>
      </c>
      <c r="D408" s="9" t="str">
        <f ca="1">+WORLDCUP!BD66</f>
        <v>Iraq</v>
      </c>
      <c r="E408" s="9" t="str">
        <f ca="1">+WORLDCUP!BD59</f>
        <v>Qatar</v>
      </c>
      <c r="F408" s="9" t="str">
        <f ca="1">+WORLDCUP!BD60</f>
        <v>Haiti</v>
      </c>
      <c r="G408" s="9" t="str">
        <f ca="1">+WORLDCUP!BD58</f>
        <v>South Korea</v>
      </c>
      <c r="H408" s="9" t="str">
        <f ca="1">+WORLDCUP!BD63</f>
        <v>Sweden</v>
      </c>
      <c r="I408" s="9" t="str">
        <f ca="1">+WORLDCUP!BD69</f>
        <v>Ghana</v>
      </c>
      <c r="J408" s="9" t="str">
        <f ca="1">+WORLDCUP!BD68</f>
        <v>Uzbekistan</v>
      </c>
      <c r="N408" s="16" t="s">
        <v>849</v>
      </c>
      <c r="O408" s="16">
        <v>407</v>
      </c>
      <c r="P408" s="16" t="s">
        <v>94</v>
      </c>
      <c r="Q408" s="16" t="s">
        <v>450</v>
      </c>
      <c r="R408" s="16" t="s">
        <v>91</v>
      </c>
      <c r="S408" s="16" t="s">
        <v>92</v>
      </c>
      <c r="T408" s="16" t="s">
        <v>90</v>
      </c>
      <c r="U408" s="16" t="s">
        <v>95</v>
      </c>
      <c r="V408" s="16" t="s">
        <v>453</v>
      </c>
      <c r="W408" s="16" t="s">
        <v>452</v>
      </c>
    </row>
    <row r="409" spans="1:23" x14ac:dyDescent="0.2">
      <c r="A409" s="9" t="s">
        <v>848</v>
      </c>
      <c r="B409" s="9">
        <f ca="1">+IF(A409=WORLDCUP!$BI$112,1,0)</f>
        <v>0</v>
      </c>
      <c r="C409" s="9" t="str">
        <f ca="1">+WORLDCUP!BD62</f>
        <v>Ivory Coast</v>
      </c>
      <c r="D409" s="9" t="str">
        <f ca="1">+WORLDCUP!BD67</f>
        <v>Austria</v>
      </c>
      <c r="E409" s="9" t="str">
        <f ca="1">+WORLDCUP!BD59</f>
        <v>Qatar</v>
      </c>
      <c r="F409" s="9" t="str">
        <f ca="1">+WORLDCUP!BD60</f>
        <v>Haiti</v>
      </c>
      <c r="G409" s="9" t="str">
        <f ca="1">+WORLDCUP!BD58</f>
        <v>South Korea</v>
      </c>
      <c r="H409" s="9" t="str">
        <f ca="1">+WORLDCUP!BD63</f>
        <v>Sweden</v>
      </c>
      <c r="I409" s="9" t="str">
        <f ca="1">+WORLDCUP!BD69</f>
        <v>Ghana</v>
      </c>
      <c r="J409" s="9" t="str">
        <f ca="1">+WORLDCUP!BD66</f>
        <v>Iraq</v>
      </c>
      <c r="N409" s="16" t="s">
        <v>848</v>
      </c>
      <c r="O409" s="16">
        <v>408</v>
      </c>
      <c r="P409" s="16" t="s">
        <v>94</v>
      </c>
      <c r="Q409" s="16" t="s">
        <v>451</v>
      </c>
      <c r="R409" s="16" t="s">
        <v>91</v>
      </c>
      <c r="S409" s="16" t="s">
        <v>92</v>
      </c>
      <c r="T409" s="16" t="s">
        <v>90</v>
      </c>
      <c r="U409" s="16" t="s">
        <v>95</v>
      </c>
      <c r="V409" s="16" t="s">
        <v>453</v>
      </c>
      <c r="W409" s="16" t="s">
        <v>450</v>
      </c>
    </row>
    <row r="410" spans="1:23" x14ac:dyDescent="0.2">
      <c r="A410" s="9" t="s">
        <v>847</v>
      </c>
      <c r="B410" s="9">
        <f ca="1">+IF(A410=WORLDCUP!$BI$112,1,0)</f>
        <v>0</v>
      </c>
      <c r="C410" s="9" t="str">
        <f ca="1">+WORLDCUP!BD62</f>
        <v>Ivory Coast</v>
      </c>
      <c r="D410" s="9" t="str">
        <f ca="1">+WORLDCUP!BD67</f>
        <v>Austria</v>
      </c>
      <c r="E410" s="9" t="str">
        <f ca="1">+WORLDCUP!BD59</f>
        <v>Qatar</v>
      </c>
      <c r="F410" s="9" t="str">
        <f ca="1">+WORLDCUP!BD60</f>
        <v>Haiti</v>
      </c>
      <c r="G410" s="9" t="str">
        <f ca="1">+WORLDCUP!BD58</f>
        <v>South Korea</v>
      </c>
      <c r="H410" s="9" t="str">
        <f ca="1">+WORLDCUP!BD63</f>
        <v>Sweden</v>
      </c>
      <c r="I410" s="9" t="str">
        <f ca="1">+WORLDCUP!BD66</f>
        <v>Iraq</v>
      </c>
      <c r="J410" s="9" t="str">
        <f ca="1">+WORLDCUP!BD68</f>
        <v>Uzbekistan</v>
      </c>
      <c r="N410" s="16" t="s">
        <v>847</v>
      </c>
      <c r="O410" s="16">
        <v>409</v>
      </c>
      <c r="P410" s="16" t="s">
        <v>94</v>
      </c>
      <c r="Q410" s="16" t="s">
        <v>451</v>
      </c>
      <c r="R410" s="16" t="s">
        <v>91</v>
      </c>
      <c r="S410" s="16" t="s">
        <v>92</v>
      </c>
      <c r="T410" s="16" t="s">
        <v>90</v>
      </c>
      <c r="U410" s="16" t="s">
        <v>95</v>
      </c>
      <c r="V410" s="16" t="s">
        <v>450</v>
      </c>
      <c r="W410" s="16" t="s">
        <v>452</v>
      </c>
    </row>
    <row r="411" spans="1:23" x14ac:dyDescent="0.2">
      <c r="A411" s="9" t="s">
        <v>846</v>
      </c>
      <c r="B411" s="9">
        <f ca="1">+IF(A411=WORLDCUP!$BI$112,1,0)</f>
        <v>0</v>
      </c>
      <c r="C411" s="9" t="str">
        <f ca="1">+WORLDCUP!BD65</f>
        <v>Saudi Arabia</v>
      </c>
      <c r="D411" s="9" t="str">
        <f ca="1">+WORLDCUP!BD62</f>
        <v>Ivory Coast</v>
      </c>
      <c r="E411" s="9" t="str">
        <f ca="1">+WORLDCUP!BD59</f>
        <v>Qatar</v>
      </c>
      <c r="F411" s="9" t="str">
        <f ca="1">+WORLDCUP!BD60</f>
        <v>Haiti</v>
      </c>
      <c r="G411" s="9" t="str">
        <f ca="1">+WORLDCUP!BD58</f>
        <v>South Korea</v>
      </c>
      <c r="H411" s="9" t="str">
        <f ca="1">+WORLDCUP!BD63</f>
        <v>Sweden</v>
      </c>
      <c r="I411" s="9" t="str">
        <f ca="1">+WORLDCUP!BD69</f>
        <v>Ghana</v>
      </c>
      <c r="J411" s="9" t="str">
        <f ca="1">+WORLDCUP!BD68</f>
        <v>Uzbekistan</v>
      </c>
      <c r="N411" s="16" t="s">
        <v>846</v>
      </c>
      <c r="O411" s="16">
        <v>410</v>
      </c>
      <c r="P411" s="16" t="s">
        <v>446</v>
      </c>
      <c r="Q411" s="16" t="s">
        <v>94</v>
      </c>
      <c r="R411" s="16" t="s">
        <v>91</v>
      </c>
      <c r="S411" s="16" t="s">
        <v>92</v>
      </c>
      <c r="T411" s="16" t="s">
        <v>90</v>
      </c>
      <c r="U411" s="16" t="s">
        <v>95</v>
      </c>
      <c r="V411" s="16" t="s">
        <v>453</v>
      </c>
      <c r="W411" s="16" t="s">
        <v>452</v>
      </c>
    </row>
    <row r="412" spans="1:23" x14ac:dyDescent="0.2">
      <c r="A412" s="9" t="s">
        <v>845</v>
      </c>
      <c r="B412" s="9">
        <f ca="1">+IF(A412=WORLDCUP!$BI$112,1,0)</f>
        <v>0</v>
      </c>
      <c r="C412" s="9" t="str">
        <f ca="1">+WORLDCUP!BD65</f>
        <v>Saudi Arabia</v>
      </c>
      <c r="D412" s="9" t="str">
        <f ca="1">+WORLDCUP!BD67</f>
        <v>Austria</v>
      </c>
      <c r="E412" s="9" t="str">
        <f ca="1">+WORLDCUP!BD59</f>
        <v>Qatar</v>
      </c>
      <c r="F412" s="9" t="str">
        <f ca="1">+WORLDCUP!BD60</f>
        <v>Haiti</v>
      </c>
      <c r="G412" s="9" t="str">
        <f ca="1">+WORLDCUP!BD58</f>
        <v>South Korea</v>
      </c>
      <c r="H412" s="9" t="str">
        <f ca="1">+WORLDCUP!BD63</f>
        <v>Sweden</v>
      </c>
      <c r="I412" s="9" t="str">
        <f ca="1">+WORLDCUP!BD69</f>
        <v>Ghana</v>
      </c>
      <c r="J412" s="9" t="str">
        <f ca="1">+WORLDCUP!BD62</f>
        <v>Ivory Coast</v>
      </c>
      <c r="N412" s="16" t="s">
        <v>845</v>
      </c>
      <c r="O412" s="16">
        <v>411</v>
      </c>
      <c r="P412" s="16" t="s">
        <v>446</v>
      </c>
      <c r="Q412" s="16" t="s">
        <v>451</v>
      </c>
      <c r="R412" s="16" t="s">
        <v>91</v>
      </c>
      <c r="S412" s="16" t="s">
        <v>92</v>
      </c>
      <c r="T412" s="16" t="s">
        <v>90</v>
      </c>
      <c r="U412" s="16" t="s">
        <v>95</v>
      </c>
      <c r="V412" s="16" t="s">
        <v>453</v>
      </c>
      <c r="W412" s="16" t="s">
        <v>94</v>
      </c>
    </row>
    <row r="413" spans="1:23" x14ac:dyDescent="0.2">
      <c r="A413" s="9" t="s">
        <v>844</v>
      </c>
      <c r="B413" s="9">
        <f ca="1">+IF(A413=WORLDCUP!$BI$112,1,0)</f>
        <v>0</v>
      </c>
      <c r="C413" s="9" t="str">
        <f ca="1">+WORLDCUP!BD65</f>
        <v>Saudi Arabia</v>
      </c>
      <c r="D413" s="9" t="str">
        <f ca="1">+WORLDCUP!BD67</f>
        <v>Austria</v>
      </c>
      <c r="E413" s="9" t="str">
        <f ca="1">+WORLDCUP!BD59</f>
        <v>Qatar</v>
      </c>
      <c r="F413" s="9" t="str">
        <f ca="1">+WORLDCUP!BD60</f>
        <v>Haiti</v>
      </c>
      <c r="G413" s="9" t="str">
        <f ca="1">+WORLDCUP!BD58</f>
        <v>South Korea</v>
      </c>
      <c r="H413" s="9" t="str">
        <f ca="1">+WORLDCUP!BD63</f>
        <v>Sweden</v>
      </c>
      <c r="I413" s="9" t="str">
        <f ca="1">+WORLDCUP!BD62</f>
        <v>Ivory Coast</v>
      </c>
      <c r="J413" s="9" t="str">
        <f ca="1">+WORLDCUP!BD68</f>
        <v>Uzbekistan</v>
      </c>
      <c r="N413" s="16" t="s">
        <v>844</v>
      </c>
      <c r="O413" s="16">
        <v>412</v>
      </c>
      <c r="P413" s="16" t="s">
        <v>446</v>
      </c>
      <c r="Q413" s="16" t="s">
        <v>451</v>
      </c>
      <c r="R413" s="16" t="s">
        <v>91</v>
      </c>
      <c r="S413" s="16" t="s">
        <v>92</v>
      </c>
      <c r="T413" s="16" t="s">
        <v>90</v>
      </c>
      <c r="U413" s="16" t="s">
        <v>95</v>
      </c>
      <c r="V413" s="16" t="s">
        <v>94</v>
      </c>
      <c r="W413" s="16" t="s">
        <v>452</v>
      </c>
    </row>
    <row r="414" spans="1:23" x14ac:dyDescent="0.2">
      <c r="A414" s="9" t="s">
        <v>776</v>
      </c>
      <c r="B414" s="9">
        <f ca="1">+IF(A414=WORLDCUP!$BI$112,1,0)</f>
        <v>0</v>
      </c>
      <c r="C414" s="9" t="str">
        <f ca="1">+WORLDCUP!BD65</f>
        <v>Saudi Arabia</v>
      </c>
      <c r="D414" s="9" t="str">
        <f ca="1">+WORLDCUP!BD62</f>
        <v>Ivory Coast</v>
      </c>
      <c r="E414" s="9" t="str">
        <f ca="1">+WORLDCUP!BD59</f>
        <v>Qatar</v>
      </c>
      <c r="F414" s="9" t="str">
        <f ca="1">+WORLDCUP!BD60</f>
        <v>Haiti</v>
      </c>
      <c r="G414" s="9" t="str">
        <f ca="1">+WORLDCUP!BD58</f>
        <v>South Korea</v>
      </c>
      <c r="H414" s="9" t="str">
        <f ca="1">+WORLDCUP!BD63</f>
        <v>Sweden</v>
      </c>
      <c r="I414" s="9" t="str">
        <f ca="1">+WORLDCUP!BD69</f>
        <v>Ghana</v>
      </c>
      <c r="J414" s="9" t="str">
        <f ca="1">+WORLDCUP!BD66</f>
        <v>Iraq</v>
      </c>
      <c r="N414" s="16" t="s">
        <v>776</v>
      </c>
      <c r="O414" s="16">
        <v>413</v>
      </c>
      <c r="P414" s="16" t="s">
        <v>446</v>
      </c>
      <c r="Q414" s="16" t="s">
        <v>94</v>
      </c>
      <c r="R414" s="16" t="s">
        <v>91</v>
      </c>
      <c r="S414" s="16" t="s">
        <v>92</v>
      </c>
      <c r="T414" s="16" t="s">
        <v>90</v>
      </c>
      <c r="U414" s="16" t="s">
        <v>95</v>
      </c>
      <c r="V414" s="16" t="s">
        <v>453</v>
      </c>
      <c r="W414" s="16" t="s">
        <v>450</v>
      </c>
    </row>
    <row r="415" spans="1:23" x14ac:dyDescent="0.2">
      <c r="A415" s="9" t="s">
        <v>843</v>
      </c>
      <c r="B415" s="9">
        <f ca="1">+IF(A415=WORLDCUP!$BI$112,1,0)</f>
        <v>0</v>
      </c>
      <c r="C415" s="9" t="str">
        <f ca="1">+WORLDCUP!BD65</f>
        <v>Saudi Arabia</v>
      </c>
      <c r="D415" s="9" t="str">
        <f ca="1">+WORLDCUP!BD62</f>
        <v>Ivory Coast</v>
      </c>
      <c r="E415" s="9" t="str">
        <f ca="1">+WORLDCUP!BD59</f>
        <v>Qatar</v>
      </c>
      <c r="F415" s="9" t="str">
        <f ca="1">+WORLDCUP!BD60</f>
        <v>Haiti</v>
      </c>
      <c r="G415" s="9" t="str">
        <f ca="1">+WORLDCUP!BD58</f>
        <v>South Korea</v>
      </c>
      <c r="H415" s="9" t="str">
        <f ca="1">+WORLDCUP!BD63</f>
        <v>Sweden</v>
      </c>
      <c r="I415" s="9" t="str">
        <f ca="1">+WORLDCUP!BD66</f>
        <v>Iraq</v>
      </c>
      <c r="J415" s="9" t="str">
        <f ca="1">+WORLDCUP!BD68</f>
        <v>Uzbekistan</v>
      </c>
      <c r="N415" s="16" t="s">
        <v>843</v>
      </c>
      <c r="O415" s="16">
        <v>414</v>
      </c>
      <c r="P415" s="16" t="s">
        <v>446</v>
      </c>
      <c r="Q415" s="16" t="s">
        <v>94</v>
      </c>
      <c r="R415" s="16" t="s">
        <v>91</v>
      </c>
      <c r="S415" s="16" t="s">
        <v>92</v>
      </c>
      <c r="T415" s="16" t="s">
        <v>90</v>
      </c>
      <c r="U415" s="16" t="s">
        <v>95</v>
      </c>
      <c r="V415" s="16" t="s">
        <v>450</v>
      </c>
      <c r="W415" s="16" t="s">
        <v>452</v>
      </c>
    </row>
    <row r="416" spans="1:23" x14ac:dyDescent="0.2">
      <c r="A416" s="9" t="s">
        <v>842</v>
      </c>
      <c r="B416" s="9">
        <f ca="1">+IF(A416=WORLDCUP!$BI$112,1,0)</f>
        <v>0</v>
      </c>
      <c r="C416" s="9" t="str">
        <f ca="1">+WORLDCUP!BD65</f>
        <v>Saudi Arabia</v>
      </c>
      <c r="D416" s="9" t="str">
        <f ca="1">+WORLDCUP!BD67</f>
        <v>Austria</v>
      </c>
      <c r="E416" s="9" t="str">
        <f ca="1">+WORLDCUP!BD59</f>
        <v>Qatar</v>
      </c>
      <c r="F416" s="9" t="str">
        <f ca="1">+WORLDCUP!BD60</f>
        <v>Haiti</v>
      </c>
      <c r="G416" s="9" t="str">
        <f ca="1">+WORLDCUP!BD58</f>
        <v>South Korea</v>
      </c>
      <c r="H416" s="9" t="str">
        <f ca="1">+WORLDCUP!BD63</f>
        <v>Sweden</v>
      </c>
      <c r="I416" s="9" t="str">
        <f ca="1">+WORLDCUP!BD62</f>
        <v>Ivory Coast</v>
      </c>
      <c r="J416" s="9" t="str">
        <f ca="1">+WORLDCUP!BD66</f>
        <v>Iraq</v>
      </c>
      <c r="N416" s="16" t="s">
        <v>842</v>
      </c>
      <c r="O416" s="16">
        <v>415</v>
      </c>
      <c r="P416" s="16" t="s">
        <v>446</v>
      </c>
      <c r="Q416" s="16" t="s">
        <v>451</v>
      </c>
      <c r="R416" s="16" t="s">
        <v>91</v>
      </c>
      <c r="S416" s="16" t="s">
        <v>92</v>
      </c>
      <c r="T416" s="16" t="s">
        <v>90</v>
      </c>
      <c r="U416" s="16" t="s">
        <v>95</v>
      </c>
      <c r="V416" s="16" t="s">
        <v>94</v>
      </c>
      <c r="W416" s="16" t="s">
        <v>450</v>
      </c>
    </row>
    <row r="417" spans="1:23" x14ac:dyDescent="0.2">
      <c r="A417" s="9" t="s">
        <v>841</v>
      </c>
      <c r="B417" s="9">
        <f ca="1">+IF(A417=WORLDCUP!$BI$112,1,0)</f>
        <v>0</v>
      </c>
      <c r="C417" s="9" t="str">
        <f ca="1">+WORLDCUP!BD62</f>
        <v>Ivory Coast</v>
      </c>
      <c r="D417" s="9" t="str">
        <f ca="1">+WORLDCUP!BD64</f>
        <v>Iran</v>
      </c>
      <c r="E417" s="9" t="str">
        <f ca="1">+WORLDCUP!BD59</f>
        <v>Qatar</v>
      </c>
      <c r="F417" s="9" t="str">
        <f ca="1">+WORLDCUP!BD60</f>
        <v>Haiti</v>
      </c>
      <c r="G417" s="9" t="str">
        <f ca="1">+WORLDCUP!BD58</f>
        <v>South Korea</v>
      </c>
      <c r="H417" s="9" t="str">
        <f ca="1">+WORLDCUP!BD63</f>
        <v>Sweden</v>
      </c>
      <c r="I417" s="9" t="str">
        <f ca="1">+WORLDCUP!BD69</f>
        <v>Ghana</v>
      </c>
      <c r="J417" s="9" t="str">
        <f ca="1">+WORLDCUP!BD68</f>
        <v>Uzbekistan</v>
      </c>
      <c r="N417" s="16" t="s">
        <v>841</v>
      </c>
      <c r="O417" s="16">
        <v>416</v>
      </c>
      <c r="P417" s="16" t="s">
        <v>94</v>
      </c>
      <c r="Q417" s="16" t="s">
        <v>445</v>
      </c>
      <c r="R417" s="16" t="s">
        <v>91</v>
      </c>
      <c r="S417" s="16" t="s">
        <v>92</v>
      </c>
      <c r="T417" s="16" t="s">
        <v>90</v>
      </c>
      <c r="U417" s="16" t="s">
        <v>95</v>
      </c>
      <c r="V417" s="16" t="s">
        <v>453</v>
      </c>
      <c r="W417" s="16" t="s">
        <v>452</v>
      </c>
    </row>
    <row r="418" spans="1:23" x14ac:dyDescent="0.2">
      <c r="A418" s="9" t="s">
        <v>840</v>
      </c>
      <c r="B418" s="9">
        <f ca="1">+IF(A418=WORLDCUP!$BI$112,1,0)</f>
        <v>0</v>
      </c>
      <c r="C418" s="9" t="str">
        <f ca="1">+WORLDCUP!BD62</f>
        <v>Ivory Coast</v>
      </c>
      <c r="D418" s="9" t="str">
        <f ca="1">+WORLDCUP!BD64</f>
        <v>Iran</v>
      </c>
      <c r="E418" s="9" t="str">
        <f ca="1">+WORLDCUP!BD59</f>
        <v>Qatar</v>
      </c>
      <c r="F418" s="9" t="str">
        <f ca="1">+WORLDCUP!BD60</f>
        <v>Haiti</v>
      </c>
      <c r="G418" s="9" t="str">
        <f ca="1">+WORLDCUP!BD58</f>
        <v>South Korea</v>
      </c>
      <c r="H418" s="9" t="str">
        <f ca="1">+WORLDCUP!BD63</f>
        <v>Sweden</v>
      </c>
      <c r="I418" s="9" t="str">
        <f ca="1">+WORLDCUP!BD69</f>
        <v>Ghana</v>
      </c>
      <c r="J418" s="9" t="str">
        <f ca="1">+WORLDCUP!BD67</f>
        <v>Austria</v>
      </c>
      <c r="N418" s="16" t="s">
        <v>840</v>
      </c>
      <c r="O418" s="16">
        <v>417</v>
      </c>
      <c r="P418" s="16" t="s">
        <v>94</v>
      </c>
      <c r="Q418" s="16" t="s">
        <v>445</v>
      </c>
      <c r="R418" s="16" t="s">
        <v>91</v>
      </c>
      <c r="S418" s="16" t="s">
        <v>92</v>
      </c>
      <c r="T418" s="16" t="s">
        <v>90</v>
      </c>
      <c r="U418" s="16" t="s">
        <v>95</v>
      </c>
      <c r="V418" s="16" t="s">
        <v>453</v>
      </c>
      <c r="W418" s="16" t="s">
        <v>451</v>
      </c>
    </row>
    <row r="419" spans="1:23" x14ac:dyDescent="0.2">
      <c r="A419" s="9" t="s">
        <v>839</v>
      </c>
      <c r="B419" s="9">
        <f ca="1">+IF(A419=WORLDCUP!$BI$112,1,0)</f>
        <v>0</v>
      </c>
      <c r="C419" s="9" t="str">
        <f ca="1">+WORLDCUP!BD62</f>
        <v>Ivory Coast</v>
      </c>
      <c r="D419" s="9" t="str">
        <f ca="1">+WORLDCUP!BD64</f>
        <v>Iran</v>
      </c>
      <c r="E419" s="9" t="str">
        <f ca="1">+WORLDCUP!BD59</f>
        <v>Qatar</v>
      </c>
      <c r="F419" s="9" t="str">
        <f ca="1">+WORLDCUP!BD60</f>
        <v>Haiti</v>
      </c>
      <c r="G419" s="9" t="str">
        <f ca="1">+WORLDCUP!BD58</f>
        <v>South Korea</v>
      </c>
      <c r="H419" s="9" t="str">
        <f ca="1">+WORLDCUP!BD63</f>
        <v>Sweden</v>
      </c>
      <c r="I419" s="9" t="str">
        <f ca="1">+WORLDCUP!BD67</f>
        <v>Austria</v>
      </c>
      <c r="J419" s="9" t="str">
        <f ca="1">+WORLDCUP!BD68</f>
        <v>Uzbekistan</v>
      </c>
      <c r="N419" s="16" t="s">
        <v>839</v>
      </c>
      <c r="O419" s="16">
        <v>418</v>
      </c>
      <c r="P419" s="16" t="s">
        <v>94</v>
      </c>
      <c r="Q419" s="16" t="s">
        <v>445</v>
      </c>
      <c r="R419" s="16" t="s">
        <v>91</v>
      </c>
      <c r="S419" s="16" t="s">
        <v>92</v>
      </c>
      <c r="T419" s="16" t="s">
        <v>90</v>
      </c>
      <c r="U419" s="16" t="s">
        <v>95</v>
      </c>
      <c r="V419" s="16" t="s">
        <v>451</v>
      </c>
      <c r="W419" s="16" t="s">
        <v>452</v>
      </c>
    </row>
    <row r="420" spans="1:23" x14ac:dyDescent="0.2">
      <c r="A420" s="9" t="s">
        <v>838</v>
      </c>
      <c r="B420" s="9">
        <f ca="1">+IF(A420=WORLDCUP!$BI$112,1,0)</f>
        <v>0</v>
      </c>
      <c r="C420" s="9" t="str">
        <f ca="1">+WORLDCUP!BD62</f>
        <v>Ivory Coast</v>
      </c>
      <c r="D420" s="9" t="str">
        <f ca="1">+WORLDCUP!BD64</f>
        <v>Iran</v>
      </c>
      <c r="E420" s="9" t="str">
        <f ca="1">+WORLDCUP!BD59</f>
        <v>Qatar</v>
      </c>
      <c r="F420" s="9" t="str">
        <f ca="1">+WORLDCUP!BD60</f>
        <v>Haiti</v>
      </c>
      <c r="G420" s="9" t="str">
        <f ca="1">+WORLDCUP!BD58</f>
        <v>South Korea</v>
      </c>
      <c r="H420" s="9" t="str">
        <f ca="1">+WORLDCUP!BD63</f>
        <v>Sweden</v>
      </c>
      <c r="I420" s="9" t="str">
        <f ca="1">+WORLDCUP!BD69</f>
        <v>Ghana</v>
      </c>
      <c r="J420" s="9" t="str">
        <f ca="1">+WORLDCUP!BD66</f>
        <v>Iraq</v>
      </c>
      <c r="N420" s="16" t="s">
        <v>838</v>
      </c>
      <c r="O420" s="16">
        <v>419</v>
      </c>
      <c r="P420" s="16" t="s">
        <v>94</v>
      </c>
      <c r="Q420" s="16" t="s">
        <v>445</v>
      </c>
      <c r="R420" s="16" t="s">
        <v>91</v>
      </c>
      <c r="S420" s="16" t="s">
        <v>92</v>
      </c>
      <c r="T420" s="16" t="s">
        <v>90</v>
      </c>
      <c r="U420" s="16" t="s">
        <v>95</v>
      </c>
      <c r="V420" s="16" t="s">
        <v>453</v>
      </c>
      <c r="W420" s="16" t="s">
        <v>450</v>
      </c>
    </row>
    <row r="421" spans="1:23" x14ac:dyDescent="0.2">
      <c r="A421" s="9" t="s">
        <v>837</v>
      </c>
      <c r="B421" s="9">
        <f ca="1">+IF(A421=WORLDCUP!$BI$112,1,0)</f>
        <v>0</v>
      </c>
      <c r="C421" s="9" t="str">
        <f ca="1">+WORLDCUP!BD62</f>
        <v>Ivory Coast</v>
      </c>
      <c r="D421" s="9" t="str">
        <f ca="1">+WORLDCUP!BD64</f>
        <v>Iran</v>
      </c>
      <c r="E421" s="9" t="str">
        <f ca="1">+WORLDCUP!BD59</f>
        <v>Qatar</v>
      </c>
      <c r="F421" s="9" t="str">
        <f ca="1">+WORLDCUP!BD60</f>
        <v>Haiti</v>
      </c>
      <c r="G421" s="9" t="str">
        <f ca="1">+WORLDCUP!BD58</f>
        <v>South Korea</v>
      </c>
      <c r="H421" s="9" t="str">
        <f ca="1">+WORLDCUP!BD63</f>
        <v>Sweden</v>
      </c>
      <c r="I421" s="9" t="str">
        <f ca="1">+WORLDCUP!BD66</f>
        <v>Iraq</v>
      </c>
      <c r="J421" s="9" t="str">
        <f ca="1">+WORLDCUP!BD68</f>
        <v>Uzbekistan</v>
      </c>
      <c r="N421" s="16" t="s">
        <v>837</v>
      </c>
      <c r="O421" s="16">
        <v>420</v>
      </c>
      <c r="P421" s="16" t="s">
        <v>94</v>
      </c>
      <c r="Q421" s="16" t="s">
        <v>445</v>
      </c>
      <c r="R421" s="16" t="s">
        <v>91</v>
      </c>
      <c r="S421" s="16" t="s">
        <v>92</v>
      </c>
      <c r="T421" s="16" t="s">
        <v>90</v>
      </c>
      <c r="U421" s="16" t="s">
        <v>95</v>
      </c>
      <c r="V421" s="16" t="s">
        <v>450</v>
      </c>
      <c r="W421" s="16" t="s">
        <v>452</v>
      </c>
    </row>
    <row r="422" spans="1:23" x14ac:dyDescent="0.2">
      <c r="A422" s="9" t="s">
        <v>836</v>
      </c>
      <c r="B422" s="9">
        <f ca="1">+IF(A422=WORLDCUP!$BI$112,1,0)</f>
        <v>0</v>
      </c>
      <c r="C422" s="9" t="str">
        <f ca="1">+WORLDCUP!BD62</f>
        <v>Ivory Coast</v>
      </c>
      <c r="D422" s="9" t="str">
        <f ca="1">+WORLDCUP!BD64</f>
        <v>Iran</v>
      </c>
      <c r="E422" s="9" t="str">
        <f ca="1">+WORLDCUP!BD59</f>
        <v>Qatar</v>
      </c>
      <c r="F422" s="9" t="str">
        <f ca="1">+WORLDCUP!BD60</f>
        <v>Haiti</v>
      </c>
      <c r="G422" s="9" t="str">
        <f ca="1">+WORLDCUP!BD58</f>
        <v>South Korea</v>
      </c>
      <c r="H422" s="9" t="str">
        <f ca="1">+WORLDCUP!BD63</f>
        <v>Sweden</v>
      </c>
      <c r="I422" s="9" t="str">
        <f ca="1">+WORLDCUP!BD66</f>
        <v>Iraq</v>
      </c>
      <c r="J422" s="9" t="str">
        <f ca="1">+WORLDCUP!BD67</f>
        <v>Austria</v>
      </c>
      <c r="N422" s="16" t="s">
        <v>836</v>
      </c>
      <c r="O422" s="16">
        <v>421</v>
      </c>
      <c r="P422" s="16" t="s">
        <v>94</v>
      </c>
      <c r="Q422" s="16" t="s">
        <v>445</v>
      </c>
      <c r="R422" s="16" t="s">
        <v>91</v>
      </c>
      <c r="S422" s="16" t="s">
        <v>92</v>
      </c>
      <c r="T422" s="16" t="s">
        <v>90</v>
      </c>
      <c r="U422" s="16" t="s">
        <v>95</v>
      </c>
      <c r="V422" s="16" t="s">
        <v>450</v>
      </c>
      <c r="W422" s="16" t="s">
        <v>451</v>
      </c>
    </row>
    <row r="423" spans="1:23" x14ac:dyDescent="0.2">
      <c r="A423" s="9" t="s">
        <v>835</v>
      </c>
      <c r="B423" s="9">
        <f ca="1">+IF(A423=WORLDCUP!$BI$112,1,0)</f>
        <v>0</v>
      </c>
      <c r="C423" s="9" t="str">
        <f ca="1">+WORLDCUP!BD65</f>
        <v>Saudi Arabia</v>
      </c>
      <c r="D423" s="9" t="str">
        <f ca="1">+WORLDCUP!BD64</f>
        <v>Iran</v>
      </c>
      <c r="E423" s="9" t="str">
        <f ca="1">+WORLDCUP!BD59</f>
        <v>Qatar</v>
      </c>
      <c r="F423" s="9" t="str">
        <f ca="1">+WORLDCUP!BD60</f>
        <v>Haiti</v>
      </c>
      <c r="G423" s="9" t="str">
        <f ca="1">+WORLDCUP!BD58</f>
        <v>South Korea</v>
      </c>
      <c r="H423" s="9" t="str">
        <f ca="1">+WORLDCUP!BD63</f>
        <v>Sweden</v>
      </c>
      <c r="I423" s="9" t="str">
        <f ca="1">+WORLDCUP!BD69</f>
        <v>Ghana</v>
      </c>
      <c r="J423" s="9" t="str">
        <f ca="1">+WORLDCUP!BD62</f>
        <v>Ivory Coast</v>
      </c>
      <c r="N423" s="16" t="s">
        <v>835</v>
      </c>
      <c r="O423" s="16">
        <v>422</v>
      </c>
      <c r="P423" s="16" t="s">
        <v>446</v>
      </c>
      <c r="Q423" s="16" t="s">
        <v>445</v>
      </c>
      <c r="R423" s="16" t="s">
        <v>91</v>
      </c>
      <c r="S423" s="16" t="s">
        <v>92</v>
      </c>
      <c r="T423" s="16" t="s">
        <v>90</v>
      </c>
      <c r="U423" s="16" t="s">
        <v>95</v>
      </c>
      <c r="V423" s="16" t="s">
        <v>453</v>
      </c>
      <c r="W423" s="16" t="s">
        <v>94</v>
      </c>
    </row>
    <row r="424" spans="1:23" x14ac:dyDescent="0.2">
      <c r="A424" s="9" t="s">
        <v>834</v>
      </c>
      <c r="B424" s="9">
        <f ca="1">+IF(A424=WORLDCUP!$BI$112,1,0)</f>
        <v>0</v>
      </c>
      <c r="C424" s="9" t="str">
        <f ca="1">+WORLDCUP!BD65</f>
        <v>Saudi Arabia</v>
      </c>
      <c r="D424" s="9" t="str">
        <f ca="1">+WORLDCUP!BD64</f>
        <v>Iran</v>
      </c>
      <c r="E424" s="9" t="str">
        <f ca="1">+WORLDCUP!BD59</f>
        <v>Qatar</v>
      </c>
      <c r="F424" s="9" t="str">
        <f ca="1">+WORLDCUP!BD60</f>
        <v>Haiti</v>
      </c>
      <c r="G424" s="9" t="str">
        <f ca="1">+WORLDCUP!BD58</f>
        <v>South Korea</v>
      </c>
      <c r="H424" s="9" t="str">
        <f ca="1">+WORLDCUP!BD63</f>
        <v>Sweden</v>
      </c>
      <c r="I424" s="9" t="str">
        <f ca="1">+WORLDCUP!BD62</f>
        <v>Ivory Coast</v>
      </c>
      <c r="J424" s="9" t="str">
        <f ca="1">+WORLDCUP!BD68</f>
        <v>Uzbekistan</v>
      </c>
      <c r="N424" s="16" t="s">
        <v>834</v>
      </c>
      <c r="O424" s="16">
        <v>423</v>
      </c>
      <c r="P424" s="16" t="s">
        <v>446</v>
      </c>
      <c r="Q424" s="16" t="s">
        <v>445</v>
      </c>
      <c r="R424" s="16" t="s">
        <v>91</v>
      </c>
      <c r="S424" s="16" t="s">
        <v>92</v>
      </c>
      <c r="T424" s="16" t="s">
        <v>90</v>
      </c>
      <c r="U424" s="16" t="s">
        <v>95</v>
      </c>
      <c r="V424" s="16" t="s">
        <v>94</v>
      </c>
      <c r="W424" s="16" t="s">
        <v>452</v>
      </c>
    </row>
    <row r="425" spans="1:23" x14ac:dyDescent="0.2">
      <c r="A425" s="9" t="s">
        <v>833</v>
      </c>
      <c r="B425" s="9">
        <f ca="1">+IF(A425=WORLDCUP!$BI$112,1,0)</f>
        <v>0</v>
      </c>
      <c r="C425" s="9" t="str">
        <f ca="1">+WORLDCUP!BD65</f>
        <v>Saudi Arabia</v>
      </c>
      <c r="D425" s="9" t="str">
        <f ca="1">+WORLDCUP!BD64</f>
        <v>Iran</v>
      </c>
      <c r="E425" s="9" t="str">
        <f ca="1">+WORLDCUP!BD59</f>
        <v>Qatar</v>
      </c>
      <c r="F425" s="9" t="str">
        <f ca="1">+WORLDCUP!BD60</f>
        <v>Haiti</v>
      </c>
      <c r="G425" s="9" t="str">
        <f ca="1">+WORLDCUP!BD58</f>
        <v>South Korea</v>
      </c>
      <c r="H425" s="9" t="str">
        <f ca="1">+WORLDCUP!BD63</f>
        <v>Sweden</v>
      </c>
      <c r="I425" s="9" t="str">
        <f ca="1">+WORLDCUP!BD62</f>
        <v>Ivory Coast</v>
      </c>
      <c r="J425" s="9" t="str">
        <f ca="1">+WORLDCUP!BD67</f>
        <v>Austria</v>
      </c>
      <c r="N425" s="16" t="s">
        <v>833</v>
      </c>
      <c r="O425" s="16">
        <v>424</v>
      </c>
      <c r="P425" s="16" t="s">
        <v>446</v>
      </c>
      <c r="Q425" s="16" t="s">
        <v>445</v>
      </c>
      <c r="R425" s="16" t="s">
        <v>91</v>
      </c>
      <c r="S425" s="16" t="s">
        <v>92</v>
      </c>
      <c r="T425" s="16" t="s">
        <v>90</v>
      </c>
      <c r="U425" s="16" t="s">
        <v>95</v>
      </c>
      <c r="V425" s="16" t="s">
        <v>94</v>
      </c>
      <c r="W425" s="16" t="s">
        <v>451</v>
      </c>
    </row>
    <row r="426" spans="1:23" x14ac:dyDescent="0.2">
      <c r="A426" s="9" t="s">
        <v>832</v>
      </c>
      <c r="B426" s="9">
        <f ca="1">+IF(A426=WORLDCUP!$BI$112,1,0)</f>
        <v>0</v>
      </c>
      <c r="C426" s="9" t="str">
        <f ca="1">+WORLDCUP!BD65</f>
        <v>Saudi Arabia</v>
      </c>
      <c r="D426" s="9" t="str">
        <f ca="1">+WORLDCUP!BD64</f>
        <v>Iran</v>
      </c>
      <c r="E426" s="9" t="str">
        <f ca="1">+WORLDCUP!BD59</f>
        <v>Qatar</v>
      </c>
      <c r="F426" s="9" t="str">
        <f ca="1">+WORLDCUP!BD60</f>
        <v>Haiti</v>
      </c>
      <c r="G426" s="9" t="str">
        <f ca="1">+WORLDCUP!BD58</f>
        <v>South Korea</v>
      </c>
      <c r="H426" s="9" t="str">
        <f ca="1">+WORLDCUP!BD63</f>
        <v>Sweden</v>
      </c>
      <c r="I426" s="9" t="str">
        <f ca="1">+WORLDCUP!BD62</f>
        <v>Ivory Coast</v>
      </c>
      <c r="J426" s="9" t="str">
        <f ca="1">+WORLDCUP!BD66</f>
        <v>Iraq</v>
      </c>
      <c r="N426" s="16" t="s">
        <v>832</v>
      </c>
      <c r="O426" s="16">
        <v>425</v>
      </c>
      <c r="P426" s="16" t="s">
        <v>446</v>
      </c>
      <c r="Q426" s="16" t="s">
        <v>445</v>
      </c>
      <c r="R426" s="16" t="s">
        <v>91</v>
      </c>
      <c r="S426" s="16" t="s">
        <v>92</v>
      </c>
      <c r="T426" s="16" t="s">
        <v>90</v>
      </c>
      <c r="U426" s="16" t="s">
        <v>95</v>
      </c>
      <c r="V426" s="16" t="s">
        <v>94</v>
      </c>
      <c r="W426" s="16" t="s">
        <v>450</v>
      </c>
    </row>
    <row r="427" spans="1:23" x14ac:dyDescent="0.2">
      <c r="A427" s="9" t="s">
        <v>831</v>
      </c>
      <c r="B427" s="9">
        <f ca="1">+IF(A427=WORLDCUP!$BI$112,1,0)</f>
        <v>0</v>
      </c>
      <c r="C427" s="9" t="str">
        <f ca="1">+WORLDCUP!BD66</f>
        <v>Iraq</v>
      </c>
      <c r="D427" s="9" t="str">
        <f ca="1">+WORLDCUP!BD67</f>
        <v>Austria</v>
      </c>
      <c r="E427" s="9" t="str">
        <f ca="1">+WORLDCUP!BD59</f>
        <v>Qatar</v>
      </c>
      <c r="F427" s="9" t="str">
        <f ca="1">+WORLDCUP!BD60</f>
        <v>Haiti</v>
      </c>
      <c r="G427" s="9" t="str">
        <f ca="1">+WORLDCUP!BD58</f>
        <v>South Korea</v>
      </c>
      <c r="H427" s="9" t="str">
        <f ca="1">+WORLDCUP!BD61</f>
        <v>Australia</v>
      </c>
      <c r="I427" s="9" t="str">
        <f ca="1">+WORLDCUP!BD69</f>
        <v>Ghana</v>
      </c>
      <c r="J427" s="9" t="str">
        <f ca="1">+WORLDCUP!BD68</f>
        <v>Uzbekistan</v>
      </c>
      <c r="N427" s="16" t="s">
        <v>831</v>
      </c>
      <c r="O427" s="16">
        <v>426</v>
      </c>
      <c r="P427" s="16" t="s">
        <v>450</v>
      </c>
      <c r="Q427" s="16" t="s">
        <v>451</v>
      </c>
      <c r="R427" s="16" t="s">
        <v>91</v>
      </c>
      <c r="S427" s="16" t="s">
        <v>92</v>
      </c>
      <c r="T427" s="16" t="s">
        <v>90</v>
      </c>
      <c r="U427" s="16" t="s">
        <v>93</v>
      </c>
      <c r="V427" s="16" t="s">
        <v>453</v>
      </c>
      <c r="W427" s="16" t="s">
        <v>452</v>
      </c>
    </row>
    <row r="428" spans="1:23" x14ac:dyDescent="0.2">
      <c r="A428" s="9" t="s">
        <v>830</v>
      </c>
      <c r="B428" s="9">
        <f ca="1">+IF(A428=WORLDCUP!$BI$112,1,0)</f>
        <v>0</v>
      </c>
      <c r="C428" s="9" t="str">
        <f ca="1">+WORLDCUP!BD65</f>
        <v>Saudi Arabia</v>
      </c>
      <c r="D428" s="9" t="str">
        <f ca="1">+WORLDCUP!BD67</f>
        <v>Austria</v>
      </c>
      <c r="E428" s="9" t="str">
        <f ca="1">+WORLDCUP!BD59</f>
        <v>Qatar</v>
      </c>
      <c r="F428" s="9" t="str">
        <f ca="1">+WORLDCUP!BD60</f>
        <v>Haiti</v>
      </c>
      <c r="G428" s="9" t="str">
        <f ca="1">+WORLDCUP!BD58</f>
        <v>South Korea</v>
      </c>
      <c r="H428" s="9" t="str">
        <f ca="1">+WORLDCUP!BD61</f>
        <v>Australia</v>
      </c>
      <c r="I428" s="9" t="str">
        <f ca="1">+WORLDCUP!BD69</f>
        <v>Ghana</v>
      </c>
      <c r="J428" s="9" t="str">
        <f ca="1">+WORLDCUP!BD68</f>
        <v>Uzbekistan</v>
      </c>
      <c r="N428" s="16" t="s">
        <v>830</v>
      </c>
      <c r="O428" s="16">
        <v>427</v>
      </c>
      <c r="P428" s="16" t="s">
        <v>446</v>
      </c>
      <c r="Q428" s="16" t="s">
        <v>451</v>
      </c>
      <c r="R428" s="16" t="s">
        <v>91</v>
      </c>
      <c r="S428" s="16" t="s">
        <v>92</v>
      </c>
      <c r="T428" s="16" t="s">
        <v>90</v>
      </c>
      <c r="U428" s="16" t="s">
        <v>93</v>
      </c>
      <c r="V428" s="16" t="s">
        <v>453</v>
      </c>
      <c r="W428" s="16" t="s">
        <v>452</v>
      </c>
    </row>
    <row r="429" spans="1:23" x14ac:dyDescent="0.2">
      <c r="A429" s="9" t="s">
        <v>829</v>
      </c>
      <c r="B429" s="9">
        <f ca="1">+IF(A429=WORLDCUP!$BI$112,1,0)</f>
        <v>0</v>
      </c>
      <c r="C429" s="9" t="str">
        <f ca="1">+WORLDCUP!BD65</f>
        <v>Saudi Arabia</v>
      </c>
      <c r="D429" s="9" t="str">
        <f ca="1">+WORLDCUP!BD66</f>
        <v>Iraq</v>
      </c>
      <c r="E429" s="9" t="str">
        <f ca="1">+WORLDCUP!BD59</f>
        <v>Qatar</v>
      </c>
      <c r="F429" s="9" t="str">
        <f ca="1">+WORLDCUP!BD60</f>
        <v>Haiti</v>
      </c>
      <c r="G429" s="9" t="str">
        <f ca="1">+WORLDCUP!BD58</f>
        <v>South Korea</v>
      </c>
      <c r="H429" s="9" t="str">
        <f ca="1">+WORLDCUP!BD61</f>
        <v>Australia</v>
      </c>
      <c r="I429" s="9" t="str">
        <f ca="1">+WORLDCUP!BD69</f>
        <v>Ghana</v>
      </c>
      <c r="J429" s="9" t="str">
        <f ca="1">+WORLDCUP!BD68</f>
        <v>Uzbekistan</v>
      </c>
      <c r="N429" s="16" t="s">
        <v>829</v>
      </c>
      <c r="O429" s="16">
        <v>428</v>
      </c>
      <c r="P429" s="16" t="s">
        <v>446</v>
      </c>
      <c r="Q429" s="16" t="s">
        <v>450</v>
      </c>
      <c r="R429" s="16" t="s">
        <v>91</v>
      </c>
      <c r="S429" s="16" t="s">
        <v>92</v>
      </c>
      <c r="T429" s="16" t="s">
        <v>90</v>
      </c>
      <c r="U429" s="16" t="s">
        <v>93</v>
      </c>
      <c r="V429" s="16" t="s">
        <v>453</v>
      </c>
      <c r="W429" s="16" t="s">
        <v>452</v>
      </c>
    </row>
    <row r="430" spans="1:23" x14ac:dyDescent="0.2">
      <c r="A430" s="9" t="s">
        <v>828</v>
      </c>
      <c r="B430" s="9">
        <f ca="1">+IF(A430=WORLDCUP!$BI$112,1,0)</f>
        <v>0</v>
      </c>
      <c r="C430" s="9" t="str">
        <f ca="1">+WORLDCUP!BD65</f>
        <v>Saudi Arabia</v>
      </c>
      <c r="D430" s="9" t="str">
        <f ca="1">+WORLDCUP!BD67</f>
        <v>Austria</v>
      </c>
      <c r="E430" s="9" t="str">
        <f ca="1">+WORLDCUP!BD59</f>
        <v>Qatar</v>
      </c>
      <c r="F430" s="9" t="str">
        <f ca="1">+WORLDCUP!BD60</f>
        <v>Haiti</v>
      </c>
      <c r="G430" s="9" t="str">
        <f ca="1">+WORLDCUP!BD58</f>
        <v>South Korea</v>
      </c>
      <c r="H430" s="9" t="str">
        <f ca="1">+WORLDCUP!BD61</f>
        <v>Australia</v>
      </c>
      <c r="I430" s="9" t="str">
        <f ca="1">+WORLDCUP!BD69</f>
        <v>Ghana</v>
      </c>
      <c r="J430" s="9" t="str">
        <f ca="1">+WORLDCUP!BD66</f>
        <v>Iraq</v>
      </c>
      <c r="N430" s="16" t="s">
        <v>828</v>
      </c>
      <c r="O430" s="16">
        <v>429</v>
      </c>
      <c r="P430" s="16" t="s">
        <v>446</v>
      </c>
      <c r="Q430" s="16" t="s">
        <v>451</v>
      </c>
      <c r="R430" s="16" t="s">
        <v>91</v>
      </c>
      <c r="S430" s="16" t="s">
        <v>92</v>
      </c>
      <c r="T430" s="16" t="s">
        <v>90</v>
      </c>
      <c r="U430" s="16" t="s">
        <v>93</v>
      </c>
      <c r="V430" s="16" t="s">
        <v>453</v>
      </c>
      <c r="W430" s="16" t="s">
        <v>450</v>
      </c>
    </row>
    <row r="431" spans="1:23" x14ac:dyDescent="0.2">
      <c r="A431" s="9" t="s">
        <v>827</v>
      </c>
      <c r="B431" s="9">
        <f ca="1">+IF(A431=WORLDCUP!$BI$112,1,0)</f>
        <v>0</v>
      </c>
      <c r="C431" s="9" t="str">
        <f ca="1">+WORLDCUP!BD65</f>
        <v>Saudi Arabia</v>
      </c>
      <c r="D431" s="9" t="str">
        <f ca="1">+WORLDCUP!BD67</f>
        <v>Austria</v>
      </c>
      <c r="E431" s="9" t="str">
        <f ca="1">+WORLDCUP!BD59</f>
        <v>Qatar</v>
      </c>
      <c r="F431" s="9" t="str">
        <f ca="1">+WORLDCUP!BD60</f>
        <v>Haiti</v>
      </c>
      <c r="G431" s="9" t="str">
        <f ca="1">+WORLDCUP!BD58</f>
        <v>South Korea</v>
      </c>
      <c r="H431" s="9" t="str">
        <f ca="1">+WORLDCUP!BD61</f>
        <v>Australia</v>
      </c>
      <c r="I431" s="9" t="str">
        <f ca="1">+WORLDCUP!BD66</f>
        <v>Iraq</v>
      </c>
      <c r="J431" s="9" t="str">
        <f ca="1">+WORLDCUP!BD68</f>
        <v>Uzbekistan</v>
      </c>
      <c r="N431" s="16" t="s">
        <v>827</v>
      </c>
      <c r="O431" s="16">
        <v>430</v>
      </c>
      <c r="P431" s="16" t="s">
        <v>446</v>
      </c>
      <c r="Q431" s="16" t="s">
        <v>451</v>
      </c>
      <c r="R431" s="16" t="s">
        <v>91</v>
      </c>
      <c r="S431" s="16" t="s">
        <v>92</v>
      </c>
      <c r="T431" s="16" t="s">
        <v>90</v>
      </c>
      <c r="U431" s="16" t="s">
        <v>93</v>
      </c>
      <c r="V431" s="16" t="s">
        <v>450</v>
      </c>
      <c r="W431" s="16" t="s">
        <v>452</v>
      </c>
    </row>
    <row r="432" spans="1:23" x14ac:dyDescent="0.2">
      <c r="A432" s="9" t="s">
        <v>826</v>
      </c>
      <c r="B432" s="9">
        <f ca="1">+IF(A432=WORLDCUP!$BI$112,1,0)</f>
        <v>0</v>
      </c>
      <c r="C432" s="9" t="str">
        <f ca="1">+WORLDCUP!BD60</f>
        <v>Haiti</v>
      </c>
      <c r="D432" s="9" t="str">
        <f ca="1">+WORLDCUP!BD67</f>
        <v>Austria</v>
      </c>
      <c r="E432" s="9" t="str">
        <f ca="1">+WORLDCUP!BD59</f>
        <v>Qatar</v>
      </c>
      <c r="F432" s="9" t="str">
        <f ca="1">+WORLDCUP!BD61</f>
        <v>Australia</v>
      </c>
      <c r="G432" s="9" t="str">
        <f ca="1">+WORLDCUP!BD58</f>
        <v>South Korea</v>
      </c>
      <c r="H432" s="9" t="str">
        <f ca="1">+WORLDCUP!BD64</f>
        <v>Iran</v>
      </c>
      <c r="I432" s="9" t="str">
        <f ca="1">+WORLDCUP!BD69</f>
        <v>Ghana</v>
      </c>
      <c r="J432" s="9" t="str">
        <f ca="1">+WORLDCUP!BD68</f>
        <v>Uzbekistan</v>
      </c>
      <c r="N432" s="16" t="s">
        <v>826</v>
      </c>
      <c r="O432" s="16">
        <v>431</v>
      </c>
      <c r="P432" s="16" t="s">
        <v>92</v>
      </c>
      <c r="Q432" s="16" t="s">
        <v>451</v>
      </c>
      <c r="R432" s="16" t="s">
        <v>91</v>
      </c>
      <c r="S432" s="16" t="s">
        <v>93</v>
      </c>
      <c r="T432" s="16" t="s">
        <v>90</v>
      </c>
      <c r="U432" s="16" t="s">
        <v>445</v>
      </c>
      <c r="V432" s="16" t="s">
        <v>453</v>
      </c>
      <c r="W432" s="16" t="s">
        <v>452</v>
      </c>
    </row>
    <row r="433" spans="1:23" x14ac:dyDescent="0.2">
      <c r="A433" s="9" t="s">
        <v>825</v>
      </c>
      <c r="B433" s="9">
        <f ca="1">+IF(A433=WORLDCUP!$BI$112,1,0)</f>
        <v>0</v>
      </c>
      <c r="C433" s="9" t="str">
        <f ca="1">+WORLDCUP!BD66</f>
        <v>Iraq</v>
      </c>
      <c r="D433" s="9" t="str">
        <f ca="1">+WORLDCUP!BD64</f>
        <v>Iran</v>
      </c>
      <c r="E433" s="9" t="str">
        <f ca="1">+WORLDCUP!BD59</f>
        <v>Qatar</v>
      </c>
      <c r="F433" s="9" t="str">
        <f ca="1">+WORLDCUP!BD60</f>
        <v>Haiti</v>
      </c>
      <c r="G433" s="9" t="str">
        <f ca="1">+WORLDCUP!BD58</f>
        <v>South Korea</v>
      </c>
      <c r="H433" s="9" t="str">
        <f ca="1">+WORLDCUP!BD61</f>
        <v>Australia</v>
      </c>
      <c r="I433" s="9" t="str">
        <f ca="1">+WORLDCUP!BD69</f>
        <v>Ghana</v>
      </c>
      <c r="J433" s="9" t="str">
        <f ca="1">+WORLDCUP!BD68</f>
        <v>Uzbekistan</v>
      </c>
      <c r="N433" s="16" t="s">
        <v>825</v>
      </c>
      <c r="O433" s="16">
        <v>432</v>
      </c>
      <c r="P433" s="16" t="s">
        <v>450</v>
      </c>
      <c r="Q433" s="16" t="s">
        <v>445</v>
      </c>
      <c r="R433" s="16" t="s">
        <v>91</v>
      </c>
      <c r="S433" s="16" t="s">
        <v>92</v>
      </c>
      <c r="T433" s="16" t="s">
        <v>90</v>
      </c>
      <c r="U433" s="16" t="s">
        <v>93</v>
      </c>
      <c r="V433" s="16" t="s">
        <v>453</v>
      </c>
      <c r="W433" s="16" t="s">
        <v>452</v>
      </c>
    </row>
    <row r="434" spans="1:23" x14ac:dyDescent="0.2">
      <c r="A434" s="9" t="s">
        <v>824</v>
      </c>
      <c r="B434" s="9">
        <f ca="1">+IF(A434=WORLDCUP!$BI$112,1,0)</f>
        <v>0</v>
      </c>
      <c r="C434" s="9" t="str">
        <f ca="1">+WORLDCUP!BD60</f>
        <v>Haiti</v>
      </c>
      <c r="D434" s="9" t="str">
        <f ca="1">+WORLDCUP!BD67</f>
        <v>Austria</v>
      </c>
      <c r="E434" s="9" t="str">
        <f ca="1">+WORLDCUP!BD59</f>
        <v>Qatar</v>
      </c>
      <c r="F434" s="9" t="str">
        <f ca="1">+WORLDCUP!BD61</f>
        <v>Australia</v>
      </c>
      <c r="G434" s="9" t="str">
        <f ca="1">+WORLDCUP!BD58</f>
        <v>South Korea</v>
      </c>
      <c r="H434" s="9" t="str">
        <f ca="1">+WORLDCUP!BD64</f>
        <v>Iran</v>
      </c>
      <c r="I434" s="9" t="str">
        <f ca="1">+WORLDCUP!BD69</f>
        <v>Ghana</v>
      </c>
      <c r="J434" s="9" t="str">
        <f ca="1">+WORLDCUP!BD66</f>
        <v>Iraq</v>
      </c>
      <c r="N434" s="16" t="s">
        <v>824</v>
      </c>
      <c r="O434" s="16">
        <v>433</v>
      </c>
      <c r="P434" s="16" t="s">
        <v>92</v>
      </c>
      <c r="Q434" s="16" t="s">
        <v>451</v>
      </c>
      <c r="R434" s="16" t="s">
        <v>91</v>
      </c>
      <c r="S434" s="16" t="s">
        <v>93</v>
      </c>
      <c r="T434" s="16" t="s">
        <v>90</v>
      </c>
      <c r="U434" s="16" t="s">
        <v>445</v>
      </c>
      <c r="V434" s="16" t="s">
        <v>453</v>
      </c>
      <c r="W434" s="16" t="s">
        <v>450</v>
      </c>
    </row>
    <row r="435" spans="1:23" x14ac:dyDescent="0.2">
      <c r="A435" s="9" t="s">
        <v>823</v>
      </c>
      <c r="B435" s="9">
        <f ca="1">+IF(A435=WORLDCUP!$BI$112,1,0)</f>
        <v>0</v>
      </c>
      <c r="C435" s="9" t="str">
        <f ca="1">+WORLDCUP!BD60</f>
        <v>Haiti</v>
      </c>
      <c r="D435" s="9" t="str">
        <f ca="1">+WORLDCUP!BD67</f>
        <v>Austria</v>
      </c>
      <c r="E435" s="9" t="str">
        <f ca="1">+WORLDCUP!BD59</f>
        <v>Qatar</v>
      </c>
      <c r="F435" s="9" t="str">
        <f ca="1">+WORLDCUP!BD61</f>
        <v>Australia</v>
      </c>
      <c r="G435" s="9" t="str">
        <f ca="1">+WORLDCUP!BD58</f>
        <v>South Korea</v>
      </c>
      <c r="H435" s="9" t="str">
        <f ca="1">+WORLDCUP!BD64</f>
        <v>Iran</v>
      </c>
      <c r="I435" s="9" t="str">
        <f ca="1">+WORLDCUP!BD66</f>
        <v>Iraq</v>
      </c>
      <c r="J435" s="9" t="str">
        <f ca="1">+WORLDCUP!BD68</f>
        <v>Uzbekistan</v>
      </c>
      <c r="N435" s="16" t="s">
        <v>823</v>
      </c>
      <c r="O435" s="16">
        <v>434</v>
      </c>
      <c r="P435" s="16" t="s">
        <v>92</v>
      </c>
      <c r="Q435" s="16" t="s">
        <v>451</v>
      </c>
      <c r="R435" s="16" t="s">
        <v>91</v>
      </c>
      <c r="S435" s="16" t="s">
        <v>93</v>
      </c>
      <c r="T435" s="16" t="s">
        <v>90</v>
      </c>
      <c r="U435" s="16" t="s">
        <v>445</v>
      </c>
      <c r="V435" s="16" t="s">
        <v>450</v>
      </c>
      <c r="W435" s="16" t="s">
        <v>452</v>
      </c>
    </row>
    <row r="436" spans="1:23" x14ac:dyDescent="0.2">
      <c r="A436" s="9" t="s">
        <v>822</v>
      </c>
      <c r="B436" s="9">
        <f ca="1">+IF(A436=WORLDCUP!$BI$112,1,0)</f>
        <v>0</v>
      </c>
      <c r="C436" s="9" t="str">
        <f ca="1">+WORLDCUP!BD65</f>
        <v>Saudi Arabia</v>
      </c>
      <c r="D436" s="9" t="str">
        <f ca="1">+WORLDCUP!BD64</f>
        <v>Iran</v>
      </c>
      <c r="E436" s="9" t="str">
        <f ca="1">+WORLDCUP!BD59</f>
        <v>Qatar</v>
      </c>
      <c r="F436" s="9" t="str">
        <f ca="1">+WORLDCUP!BD60</f>
        <v>Haiti</v>
      </c>
      <c r="G436" s="9" t="str">
        <f ca="1">+WORLDCUP!BD58</f>
        <v>South Korea</v>
      </c>
      <c r="H436" s="9" t="str">
        <f ca="1">+WORLDCUP!BD61</f>
        <v>Australia</v>
      </c>
      <c r="I436" s="9" t="str">
        <f ca="1">+WORLDCUP!BD69</f>
        <v>Ghana</v>
      </c>
      <c r="J436" s="9" t="str">
        <f ca="1">+WORLDCUP!BD68</f>
        <v>Uzbekistan</v>
      </c>
      <c r="N436" s="16" t="s">
        <v>822</v>
      </c>
      <c r="O436" s="16">
        <v>435</v>
      </c>
      <c r="P436" s="16" t="s">
        <v>446</v>
      </c>
      <c r="Q436" s="16" t="s">
        <v>445</v>
      </c>
      <c r="R436" s="16" t="s">
        <v>91</v>
      </c>
      <c r="S436" s="16" t="s">
        <v>92</v>
      </c>
      <c r="T436" s="16" t="s">
        <v>90</v>
      </c>
      <c r="U436" s="16" t="s">
        <v>93</v>
      </c>
      <c r="V436" s="16" t="s">
        <v>453</v>
      </c>
      <c r="W436" s="16" t="s">
        <v>452</v>
      </c>
    </row>
    <row r="437" spans="1:23" x14ac:dyDescent="0.2">
      <c r="A437" s="9" t="s">
        <v>821</v>
      </c>
      <c r="B437" s="9">
        <f ca="1">+IF(A437=WORLDCUP!$BI$112,1,0)</f>
        <v>0</v>
      </c>
      <c r="C437" s="9" t="str">
        <f ca="1">+WORLDCUP!BD65</f>
        <v>Saudi Arabia</v>
      </c>
      <c r="D437" s="9" t="str">
        <f ca="1">+WORLDCUP!BD64</f>
        <v>Iran</v>
      </c>
      <c r="E437" s="9" t="str">
        <f ca="1">+WORLDCUP!BD59</f>
        <v>Qatar</v>
      </c>
      <c r="F437" s="9" t="str">
        <f ca="1">+WORLDCUP!BD60</f>
        <v>Haiti</v>
      </c>
      <c r="G437" s="9" t="str">
        <f ca="1">+WORLDCUP!BD58</f>
        <v>South Korea</v>
      </c>
      <c r="H437" s="9" t="str">
        <f ca="1">+WORLDCUP!BD61</f>
        <v>Australia</v>
      </c>
      <c r="I437" s="9" t="str">
        <f ca="1">+WORLDCUP!BD69</f>
        <v>Ghana</v>
      </c>
      <c r="J437" s="9" t="str">
        <f ca="1">+WORLDCUP!BD67</f>
        <v>Austria</v>
      </c>
      <c r="N437" s="16" t="s">
        <v>821</v>
      </c>
      <c r="O437" s="16">
        <v>436</v>
      </c>
      <c r="P437" s="16" t="s">
        <v>446</v>
      </c>
      <c r="Q437" s="16" t="s">
        <v>445</v>
      </c>
      <c r="R437" s="16" t="s">
        <v>91</v>
      </c>
      <c r="S437" s="16" t="s">
        <v>92</v>
      </c>
      <c r="T437" s="16" t="s">
        <v>90</v>
      </c>
      <c r="U437" s="16" t="s">
        <v>93</v>
      </c>
      <c r="V437" s="16" t="s">
        <v>453</v>
      </c>
      <c r="W437" s="16" t="s">
        <v>451</v>
      </c>
    </row>
    <row r="438" spans="1:23" x14ac:dyDescent="0.2">
      <c r="A438" s="9" t="s">
        <v>820</v>
      </c>
      <c r="B438" s="9">
        <f ca="1">+IF(A438=WORLDCUP!$BI$112,1,0)</f>
        <v>0</v>
      </c>
      <c r="C438" s="9" t="str">
        <f ca="1">+WORLDCUP!BD65</f>
        <v>Saudi Arabia</v>
      </c>
      <c r="D438" s="9" t="str">
        <f ca="1">+WORLDCUP!BD64</f>
        <v>Iran</v>
      </c>
      <c r="E438" s="9" t="str">
        <f ca="1">+WORLDCUP!BD59</f>
        <v>Qatar</v>
      </c>
      <c r="F438" s="9" t="str">
        <f ca="1">+WORLDCUP!BD60</f>
        <v>Haiti</v>
      </c>
      <c r="G438" s="9" t="str">
        <f ca="1">+WORLDCUP!BD58</f>
        <v>South Korea</v>
      </c>
      <c r="H438" s="9" t="str">
        <f ca="1">+WORLDCUP!BD61</f>
        <v>Australia</v>
      </c>
      <c r="I438" s="9" t="str">
        <f ca="1">+WORLDCUP!BD67</f>
        <v>Austria</v>
      </c>
      <c r="J438" s="9" t="str">
        <f ca="1">+WORLDCUP!BD68</f>
        <v>Uzbekistan</v>
      </c>
      <c r="N438" s="16" t="s">
        <v>820</v>
      </c>
      <c r="O438" s="16">
        <v>437</v>
      </c>
      <c r="P438" s="16" t="s">
        <v>446</v>
      </c>
      <c r="Q438" s="16" t="s">
        <v>445</v>
      </c>
      <c r="R438" s="16" t="s">
        <v>91</v>
      </c>
      <c r="S438" s="16" t="s">
        <v>92</v>
      </c>
      <c r="T438" s="16" t="s">
        <v>90</v>
      </c>
      <c r="U438" s="16" t="s">
        <v>93</v>
      </c>
      <c r="V438" s="16" t="s">
        <v>451</v>
      </c>
      <c r="W438" s="16" t="s">
        <v>452</v>
      </c>
    </row>
    <row r="439" spans="1:23" x14ac:dyDescent="0.2">
      <c r="A439" s="9" t="s">
        <v>819</v>
      </c>
      <c r="B439" s="9">
        <f ca="1">+IF(A439=WORLDCUP!$BI$112,1,0)</f>
        <v>0</v>
      </c>
      <c r="C439" s="9" t="str">
        <f ca="1">+WORLDCUP!BD65</f>
        <v>Saudi Arabia</v>
      </c>
      <c r="D439" s="9" t="str">
        <f ca="1">+WORLDCUP!BD64</f>
        <v>Iran</v>
      </c>
      <c r="E439" s="9" t="str">
        <f ca="1">+WORLDCUP!BD59</f>
        <v>Qatar</v>
      </c>
      <c r="F439" s="9" t="str">
        <f ca="1">+WORLDCUP!BD60</f>
        <v>Haiti</v>
      </c>
      <c r="G439" s="9" t="str">
        <f ca="1">+WORLDCUP!BD58</f>
        <v>South Korea</v>
      </c>
      <c r="H439" s="9" t="str">
        <f ca="1">+WORLDCUP!BD61</f>
        <v>Australia</v>
      </c>
      <c r="I439" s="9" t="str">
        <f ca="1">+WORLDCUP!BD69</f>
        <v>Ghana</v>
      </c>
      <c r="J439" s="9" t="str">
        <f ca="1">+WORLDCUP!BD66</f>
        <v>Iraq</v>
      </c>
      <c r="N439" s="16" t="s">
        <v>819</v>
      </c>
      <c r="O439" s="16">
        <v>438</v>
      </c>
      <c r="P439" s="16" t="s">
        <v>446</v>
      </c>
      <c r="Q439" s="16" t="s">
        <v>445</v>
      </c>
      <c r="R439" s="16" t="s">
        <v>91</v>
      </c>
      <c r="S439" s="16" t="s">
        <v>92</v>
      </c>
      <c r="T439" s="16" t="s">
        <v>90</v>
      </c>
      <c r="U439" s="16" t="s">
        <v>93</v>
      </c>
      <c r="V439" s="16" t="s">
        <v>453</v>
      </c>
      <c r="W439" s="16" t="s">
        <v>450</v>
      </c>
    </row>
    <row r="440" spans="1:23" x14ac:dyDescent="0.2">
      <c r="A440" s="9" t="s">
        <v>818</v>
      </c>
      <c r="B440" s="9">
        <f ca="1">+IF(A440=WORLDCUP!$BI$112,1,0)</f>
        <v>0</v>
      </c>
      <c r="C440" s="9" t="str">
        <f ca="1">+WORLDCUP!BD65</f>
        <v>Saudi Arabia</v>
      </c>
      <c r="D440" s="9" t="str">
        <f ca="1">+WORLDCUP!BD64</f>
        <v>Iran</v>
      </c>
      <c r="E440" s="9" t="str">
        <f ca="1">+WORLDCUP!BD59</f>
        <v>Qatar</v>
      </c>
      <c r="F440" s="9" t="str">
        <f ca="1">+WORLDCUP!BD60</f>
        <v>Haiti</v>
      </c>
      <c r="G440" s="9" t="str">
        <f ca="1">+WORLDCUP!BD58</f>
        <v>South Korea</v>
      </c>
      <c r="H440" s="9" t="str">
        <f ca="1">+WORLDCUP!BD61</f>
        <v>Australia</v>
      </c>
      <c r="I440" s="9" t="str">
        <f ca="1">+WORLDCUP!BD66</f>
        <v>Iraq</v>
      </c>
      <c r="J440" s="9" t="str">
        <f ca="1">+WORLDCUP!BD68</f>
        <v>Uzbekistan</v>
      </c>
      <c r="N440" s="16" t="s">
        <v>818</v>
      </c>
      <c r="O440" s="16">
        <v>439</v>
      </c>
      <c r="P440" s="16" t="s">
        <v>446</v>
      </c>
      <c r="Q440" s="16" t="s">
        <v>445</v>
      </c>
      <c r="R440" s="16" t="s">
        <v>91</v>
      </c>
      <c r="S440" s="16" t="s">
        <v>92</v>
      </c>
      <c r="T440" s="16" t="s">
        <v>90</v>
      </c>
      <c r="U440" s="16" t="s">
        <v>93</v>
      </c>
      <c r="V440" s="16" t="s">
        <v>450</v>
      </c>
      <c r="W440" s="16" t="s">
        <v>452</v>
      </c>
    </row>
    <row r="441" spans="1:23" x14ac:dyDescent="0.2">
      <c r="A441" s="9" t="s">
        <v>817</v>
      </c>
      <c r="B441" s="9">
        <f ca="1">+IF(A441=WORLDCUP!$BI$112,1,0)</f>
        <v>0</v>
      </c>
      <c r="C441" s="9" t="str">
        <f ca="1">+WORLDCUP!BD65</f>
        <v>Saudi Arabia</v>
      </c>
      <c r="D441" s="9" t="str">
        <f ca="1">+WORLDCUP!BD64</f>
        <v>Iran</v>
      </c>
      <c r="E441" s="9" t="str">
        <f ca="1">+WORLDCUP!BD59</f>
        <v>Qatar</v>
      </c>
      <c r="F441" s="9" t="str">
        <f ca="1">+WORLDCUP!BD60</f>
        <v>Haiti</v>
      </c>
      <c r="G441" s="9" t="str">
        <f ca="1">+WORLDCUP!BD58</f>
        <v>South Korea</v>
      </c>
      <c r="H441" s="9" t="str">
        <f ca="1">+WORLDCUP!BD61</f>
        <v>Australia</v>
      </c>
      <c r="I441" s="9" t="str">
        <f ca="1">+WORLDCUP!BD66</f>
        <v>Iraq</v>
      </c>
      <c r="J441" s="9" t="str">
        <f ca="1">+WORLDCUP!BD67</f>
        <v>Austria</v>
      </c>
      <c r="N441" s="16" t="s">
        <v>817</v>
      </c>
      <c r="O441" s="16">
        <v>440</v>
      </c>
      <c r="P441" s="16" t="s">
        <v>446</v>
      </c>
      <c r="Q441" s="16" t="s">
        <v>445</v>
      </c>
      <c r="R441" s="16" t="s">
        <v>91</v>
      </c>
      <c r="S441" s="16" t="s">
        <v>92</v>
      </c>
      <c r="T441" s="16" t="s">
        <v>90</v>
      </c>
      <c r="U441" s="16" t="s">
        <v>93</v>
      </c>
      <c r="V441" s="16" t="s">
        <v>450</v>
      </c>
      <c r="W441" s="16" t="s">
        <v>451</v>
      </c>
    </row>
    <row r="442" spans="1:23" x14ac:dyDescent="0.2">
      <c r="A442" s="9" t="s">
        <v>816</v>
      </c>
      <c r="B442" s="9">
        <f ca="1">+IF(A442=WORLDCUP!$BI$112,1,0)</f>
        <v>0</v>
      </c>
      <c r="C442" s="9" t="str">
        <f ca="1">+WORLDCUP!BD60</f>
        <v>Haiti</v>
      </c>
      <c r="D442" s="9" t="str">
        <f ca="1">+WORLDCUP!BD67</f>
        <v>Austria</v>
      </c>
      <c r="E442" s="9" t="str">
        <f ca="1">+WORLDCUP!BD59</f>
        <v>Qatar</v>
      </c>
      <c r="F442" s="9" t="str">
        <f ca="1">+WORLDCUP!BD61</f>
        <v>Australia</v>
      </c>
      <c r="G442" s="9" t="str">
        <f ca="1">+WORLDCUP!BD58</f>
        <v>South Korea</v>
      </c>
      <c r="H442" s="9" t="str">
        <f ca="1">+WORLDCUP!BD63</f>
        <v>Sweden</v>
      </c>
      <c r="I442" s="9" t="str">
        <f ca="1">+WORLDCUP!BD69</f>
        <v>Ghana</v>
      </c>
      <c r="J442" s="9" t="str">
        <f ca="1">+WORLDCUP!BD68</f>
        <v>Uzbekistan</v>
      </c>
      <c r="N442" s="16" t="s">
        <v>816</v>
      </c>
      <c r="O442" s="16">
        <v>441</v>
      </c>
      <c r="P442" s="16" t="s">
        <v>92</v>
      </c>
      <c r="Q442" s="16" t="s">
        <v>451</v>
      </c>
      <c r="R442" s="16" t="s">
        <v>91</v>
      </c>
      <c r="S442" s="16" t="s">
        <v>93</v>
      </c>
      <c r="T442" s="16" t="s">
        <v>90</v>
      </c>
      <c r="U442" s="16" t="s">
        <v>95</v>
      </c>
      <c r="V442" s="16" t="s">
        <v>453</v>
      </c>
      <c r="W442" s="16" t="s">
        <v>452</v>
      </c>
    </row>
    <row r="443" spans="1:23" x14ac:dyDescent="0.2">
      <c r="A443" s="9" t="s">
        <v>815</v>
      </c>
      <c r="B443" s="9">
        <f ca="1">+IF(A443=WORLDCUP!$BI$112,1,0)</f>
        <v>0</v>
      </c>
      <c r="C443" s="9" t="str">
        <f ca="1">+WORLDCUP!BD60</f>
        <v>Haiti</v>
      </c>
      <c r="D443" s="9" t="str">
        <f ca="1">+WORLDCUP!BD66</f>
        <v>Iraq</v>
      </c>
      <c r="E443" s="9" t="str">
        <f ca="1">+WORLDCUP!BD59</f>
        <v>Qatar</v>
      </c>
      <c r="F443" s="9" t="str">
        <f ca="1">+WORLDCUP!BD61</f>
        <v>Australia</v>
      </c>
      <c r="G443" s="9" t="str">
        <f ca="1">+WORLDCUP!BD58</f>
        <v>South Korea</v>
      </c>
      <c r="H443" s="9" t="str">
        <f ca="1">+WORLDCUP!BD63</f>
        <v>Sweden</v>
      </c>
      <c r="I443" s="9" t="str">
        <f ca="1">+WORLDCUP!BD69</f>
        <v>Ghana</v>
      </c>
      <c r="J443" s="9" t="str">
        <f ca="1">+WORLDCUP!BD68</f>
        <v>Uzbekistan</v>
      </c>
      <c r="N443" s="16" t="s">
        <v>815</v>
      </c>
      <c r="O443" s="16">
        <v>442</v>
      </c>
      <c r="P443" s="16" t="s">
        <v>92</v>
      </c>
      <c r="Q443" s="16" t="s">
        <v>450</v>
      </c>
      <c r="R443" s="16" t="s">
        <v>91</v>
      </c>
      <c r="S443" s="16" t="s">
        <v>93</v>
      </c>
      <c r="T443" s="16" t="s">
        <v>90</v>
      </c>
      <c r="U443" s="16" t="s">
        <v>95</v>
      </c>
      <c r="V443" s="16" t="s">
        <v>453</v>
      </c>
      <c r="W443" s="16" t="s">
        <v>452</v>
      </c>
    </row>
    <row r="444" spans="1:23" x14ac:dyDescent="0.2">
      <c r="A444" s="9" t="s">
        <v>814</v>
      </c>
      <c r="B444" s="9">
        <f ca="1">+IF(A444=WORLDCUP!$BI$112,1,0)</f>
        <v>0</v>
      </c>
      <c r="C444" s="9" t="str">
        <f ca="1">+WORLDCUP!BD60</f>
        <v>Haiti</v>
      </c>
      <c r="D444" s="9" t="str">
        <f ca="1">+WORLDCUP!BD67</f>
        <v>Austria</v>
      </c>
      <c r="E444" s="9" t="str">
        <f ca="1">+WORLDCUP!BD59</f>
        <v>Qatar</v>
      </c>
      <c r="F444" s="9" t="str">
        <f ca="1">+WORLDCUP!BD61</f>
        <v>Australia</v>
      </c>
      <c r="G444" s="9" t="str">
        <f ca="1">+WORLDCUP!BD58</f>
        <v>South Korea</v>
      </c>
      <c r="H444" s="9" t="str">
        <f ca="1">+WORLDCUP!BD63</f>
        <v>Sweden</v>
      </c>
      <c r="I444" s="9" t="str">
        <f ca="1">+WORLDCUP!BD69</f>
        <v>Ghana</v>
      </c>
      <c r="J444" s="9" t="str">
        <f ca="1">+WORLDCUP!BD66</f>
        <v>Iraq</v>
      </c>
      <c r="N444" s="16" t="s">
        <v>814</v>
      </c>
      <c r="O444" s="16">
        <v>443</v>
      </c>
      <c r="P444" s="16" t="s">
        <v>92</v>
      </c>
      <c r="Q444" s="16" t="s">
        <v>451</v>
      </c>
      <c r="R444" s="16" t="s">
        <v>91</v>
      </c>
      <c r="S444" s="16" t="s">
        <v>93</v>
      </c>
      <c r="T444" s="16" t="s">
        <v>90</v>
      </c>
      <c r="U444" s="16" t="s">
        <v>95</v>
      </c>
      <c r="V444" s="16" t="s">
        <v>453</v>
      </c>
      <c r="W444" s="16" t="s">
        <v>450</v>
      </c>
    </row>
    <row r="445" spans="1:23" x14ac:dyDescent="0.2">
      <c r="A445" s="9" t="s">
        <v>813</v>
      </c>
      <c r="B445" s="9">
        <f ca="1">+IF(A445=WORLDCUP!$BI$112,1,0)</f>
        <v>0</v>
      </c>
      <c r="C445" s="9" t="str">
        <f ca="1">+WORLDCUP!BD60</f>
        <v>Haiti</v>
      </c>
      <c r="D445" s="9" t="str">
        <f ca="1">+WORLDCUP!BD67</f>
        <v>Austria</v>
      </c>
      <c r="E445" s="9" t="str">
        <f ca="1">+WORLDCUP!BD59</f>
        <v>Qatar</v>
      </c>
      <c r="F445" s="9" t="str">
        <f ca="1">+WORLDCUP!BD61</f>
        <v>Australia</v>
      </c>
      <c r="G445" s="9" t="str">
        <f ca="1">+WORLDCUP!BD58</f>
        <v>South Korea</v>
      </c>
      <c r="H445" s="9" t="str">
        <f ca="1">+WORLDCUP!BD63</f>
        <v>Sweden</v>
      </c>
      <c r="I445" s="9" t="str">
        <f ca="1">+WORLDCUP!BD66</f>
        <v>Iraq</v>
      </c>
      <c r="J445" s="9" t="str">
        <f ca="1">+WORLDCUP!BD68</f>
        <v>Uzbekistan</v>
      </c>
      <c r="N445" s="16" t="s">
        <v>813</v>
      </c>
      <c r="O445" s="16">
        <v>444</v>
      </c>
      <c r="P445" s="16" t="s">
        <v>92</v>
      </c>
      <c r="Q445" s="16" t="s">
        <v>451</v>
      </c>
      <c r="R445" s="16" t="s">
        <v>91</v>
      </c>
      <c r="S445" s="16" t="s">
        <v>93</v>
      </c>
      <c r="T445" s="16" t="s">
        <v>90</v>
      </c>
      <c r="U445" s="16" t="s">
        <v>95</v>
      </c>
      <c r="V445" s="16" t="s">
        <v>450</v>
      </c>
      <c r="W445" s="16" t="s">
        <v>452</v>
      </c>
    </row>
    <row r="446" spans="1:23" x14ac:dyDescent="0.2">
      <c r="A446" s="9" t="s">
        <v>812</v>
      </c>
      <c r="B446" s="9">
        <f ca="1">+IF(A446=WORLDCUP!$BI$112,1,0)</f>
        <v>0</v>
      </c>
      <c r="C446" s="9" t="str">
        <f ca="1">+WORLDCUP!BD65</f>
        <v>Saudi Arabia</v>
      </c>
      <c r="D446" s="9" t="str">
        <f ca="1">+WORLDCUP!BD63</f>
        <v>Sweden</v>
      </c>
      <c r="E446" s="9" t="str">
        <f ca="1">+WORLDCUP!BD59</f>
        <v>Qatar</v>
      </c>
      <c r="F446" s="9" t="str">
        <f ca="1">+WORLDCUP!BD60</f>
        <v>Haiti</v>
      </c>
      <c r="G446" s="9" t="str">
        <f ca="1">+WORLDCUP!BD58</f>
        <v>South Korea</v>
      </c>
      <c r="H446" s="9" t="str">
        <f ca="1">+WORLDCUP!BD61</f>
        <v>Australia</v>
      </c>
      <c r="I446" s="9" t="str">
        <f ca="1">+WORLDCUP!BD69</f>
        <v>Ghana</v>
      </c>
      <c r="J446" s="9" t="str">
        <f ca="1">+WORLDCUP!BD68</f>
        <v>Uzbekistan</v>
      </c>
      <c r="N446" s="16" t="s">
        <v>812</v>
      </c>
      <c r="O446" s="16">
        <v>445</v>
      </c>
      <c r="P446" s="16" t="s">
        <v>446</v>
      </c>
      <c r="Q446" s="16" t="s">
        <v>95</v>
      </c>
      <c r="R446" s="16" t="s">
        <v>91</v>
      </c>
      <c r="S446" s="16" t="s">
        <v>92</v>
      </c>
      <c r="T446" s="16" t="s">
        <v>90</v>
      </c>
      <c r="U446" s="16" t="s">
        <v>93</v>
      </c>
      <c r="V446" s="16" t="s">
        <v>453</v>
      </c>
      <c r="W446" s="16" t="s">
        <v>452</v>
      </c>
    </row>
    <row r="447" spans="1:23" x14ac:dyDescent="0.2">
      <c r="A447" s="9" t="s">
        <v>811</v>
      </c>
      <c r="B447" s="9">
        <f ca="1">+IF(A447=WORLDCUP!$BI$112,1,0)</f>
        <v>0</v>
      </c>
      <c r="C447" s="9" t="str">
        <f ca="1">+WORLDCUP!BD60</f>
        <v>Haiti</v>
      </c>
      <c r="D447" s="9" t="str">
        <f ca="1">+WORLDCUP!BD67</f>
        <v>Austria</v>
      </c>
      <c r="E447" s="9" t="str">
        <f ca="1">+WORLDCUP!BD59</f>
        <v>Qatar</v>
      </c>
      <c r="F447" s="9" t="str">
        <f ca="1">+WORLDCUP!BD61</f>
        <v>Australia</v>
      </c>
      <c r="G447" s="9" t="str">
        <f ca="1">+WORLDCUP!BD58</f>
        <v>South Korea</v>
      </c>
      <c r="H447" s="9" t="str">
        <f ca="1">+WORLDCUP!BD63</f>
        <v>Sweden</v>
      </c>
      <c r="I447" s="9" t="str">
        <f ca="1">+WORLDCUP!BD69</f>
        <v>Ghana</v>
      </c>
      <c r="J447" s="9" t="str">
        <f ca="1">+WORLDCUP!BD65</f>
        <v>Saudi Arabia</v>
      </c>
      <c r="N447" s="16" t="s">
        <v>811</v>
      </c>
      <c r="O447" s="16">
        <v>446</v>
      </c>
      <c r="P447" s="16" t="s">
        <v>92</v>
      </c>
      <c r="Q447" s="16" t="s">
        <v>451</v>
      </c>
      <c r="R447" s="16" t="s">
        <v>91</v>
      </c>
      <c r="S447" s="16" t="s">
        <v>93</v>
      </c>
      <c r="T447" s="16" t="s">
        <v>90</v>
      </c>
      <c r="U447" s="16" t="s">
        <v>95</v>
      </c>
      <c r="V447" s="16" t="s">
        <v>453</v>
      </c>
      <c r="W447" s="16" t="s">
        <v>446</v>
      </c>
    </row>
    <row r="448" spans="1:23" x14ac:dyDescent="0.2">
      <c r="A448" s="9" t="s">
        <v>810</v>
      </c>
      <c r="B448" s="9">
        <f ca="1">+IF(A448=WORLDCUP!$BI$112,1,0)</f>
        <v>0</v>
      </c>
      <c r="C448" s="9" t="str">
        <f ca="1">+WORLDCUP!BD65</f>
        <v>Saudi Arabia</v>
      </c>
      <c r="D448" s="9" t="str">
        <f ca="1">+WORLDCUP!BD67</f>
        <v>Austria</v>
      </c>
      <c r="E448" s="9" t="str">
        <f ca="1">+WORLDCUP!BD59</f>
        <v>Qatar</v>
      </c>
      <c r="F448" s="9" t="str">
        <f ca="1">+WORLDCUP!BD60</f>
        <v>Haiti</v>
      </c>
      <c r="G448" s="9" t="str">
        <f ca="1">+WORLDCUP!BD58</f>
        <v>South Korea</v>
      </c>
      <c r="H448" s="9" t="str">
        <f ca="1">+WORLDCUP!BD63</f>
        <v>Sweden</v>
      </c>
      <c r="I448" s="9" t="str">
        <f ca="1">+WORLDCUP!BD61</f>
        <v>Australia</v>
      </c>
      <c r="J448" s="9" t="str">
        <f ca="1">+WORLDCUP!BD68</f>
        <v>Uzbekistan</v>
      </c>
      <c r="N448" s="16" t="s">
        <v>810</v>
      </c>
      <c r="O448" s="16">
        <v>447</v>
      </c>
      <c r="P448" s="16" t="s">
        <v>446</v>
      </c>
      <c r="Q448" s="16" t="s">
        <v>451</v>
      </c>
      <c r="R448" s="16" t="s">
        <v>91</v>
      </c>
      <c r="S448" s="16" t="s">
        <v>92</v>
      </c>
      <c r="T448" s="16" t="s">
        <v>90</v>
      </c>
      <c r="U448" s="16" t="s">
        <v>95</v>
      </c>
      <c r="V448" s="16" t="s">
        <v>93</v>
      </c>
      <c r="W448" s="16" t="s">
        <v>452</v>
      </c>
    </row>
    <row r="449" spans="1:23" x14ac:dyDescent="0.2">
      <c r="A449" s="9" t="s">
        <v>809</v>
      </c>
      <c r="B449" s="9">
        <f ca="1">+IF(A449=WORLDCUP!$BI$112,1,0)</f>
        <v>0</v>
      </c>
      <c r="C449" s="9" t="str">
        <f ca="1">+WORLDCUP!BD65</f>
        <v>Saudi Arabia</v>
      </c>
      <c r="D449" s="9" t="str">
        <f ca="1">+WORLDCUP!BD63</f>
        <v>Sweden</v>
      </c>
      <c r="E449" s="9" t="str">
        <f ca="1">+WORLDCUP!BD59</f>
        <v>Qatar</v>
      </c>
      <c r="F449" s="9" t="str">
        <f ca="1">+WORLDCUP!BD60</f>
        <v>Haiti</v>
      </c>
      <c r="G449" s="9" t="str">
        <f ca="1">+WORLDCUP!BD58</f>
        <v>South Korea</v>
      </c>
      <c r="H449" s="9" t="str">
        <f ca="1">+WORLDCUP!BD61</f>
        <v>Australia</v>
      </c>
      <c r="I449" s="9" t="str">
        <f ca="1">+WORLDCUP!BD69</f>
        <v>Ghana</v>
      </c>
      <c r="J449" s="9" t="str">
        <f ca="1">+WORLDCUP!BD66</f>
        <v>Iraq</v>
      </c>
      <c r="N449" s="16" t="s">
        <v>809</v>
      </c>
      <c r="O449" s="16">
        <v>448</v>
      </c>
      <c r="P449" s="16" t="s">
        <v>446</v>
      </c>
      <c r="Q449" s="16" t="s">
        <v>95</v>
      </c>
      <c r="R449" s="16" t="s">
        <v>91</v>
      </c>
      <c r="S449" s="16" t="s">
        <v>92</v>
      </c>
      <c r="T449" s="16" t="s">
        <v>90</v>
      </c>
      <c r="U449" s="16" t="s">
        <v>93</v>
      </c>
      <c r="V449" s="16" t="s">
        <v>453</v>
      </c>
      <c r="W449" s="16" t="s">
        <v>450</v>
      </c>
    </row>
    <row r="450" spans="1:23" x14ac:dyDescent="0.2">
      <c r="A450" s="9" t="s">
        <v>808</v>
      </c>
      <c r="B450" s="9">
        <f ca="1">+IF(A450=WORLDCUP!$BI$112,1,0)</f>
        <v>0</v>
      </c>
      <c r="C450" s="9" t="str">
        <f ca="1">+WORLDCUP!BD65</f>
        <v>Saudi Arabia</v>
      </c>
      <c r="D450" s="9" t="str">
        <f ca="1">+WORLDCUP!BD63</f>
        <v>Sweden</v>
      </c>
      <c r="E450" s="9" t="str">
        <f ca="1">+WORLDCUP!BD59</f>
        <v>Qatar</v>
      </c>
      <c r="F450" s="9" t="str">
        <f ca="1">+WORLDCUP!BD60</f>
        <v>Haiti</v>
      </c>
      <c r="G450" s="9" t="str">
        <f ca="1">+WORLDCUP!BD58</f>
        <v>South Korea</v>
      </c>
      <c r="H450" s="9" t="str">
        <f ca="1">+WORLDCUP!BD61</f>
        <v>Australia</v>
      </c>
      <c r="I450" s="9" t="str">
        <f ca="1">+WORLDCUP!BD66</f>
        <v>Iraq</v>
      </c>
      <c r="J450" s="9" t="str">
        <f ca="1">+WORLDCUP!BD68</f>
        <v>Uzbekistan</v>
      </c>
      <c r="N450" s="16" t="s">
        <v>808</v>
      </c>
      <c r="O450" s="16">
        <v>449</v>
      </c>
      <c r="P450" s="16" t="s">
        <v>446</v>
      </c>
      <c r="Q450" s="16" t="s">
        <v>95</v>
      </c>
      <c r="R450" s="16" t="s">
        <v>91</v>
      </c>
      <c r="S450" s="16" t="s">
        <v>92</v>
      </c>
      <c r="T450" s="16" t="s">
        <v>90</v>
      </c>
      <c r="U450" s="16" t="s">
        <v>93</v>
      </c>
      <c r="V450" s="16" t="s">
        <v>450</v>
      </c>
      <c r="W450" s="16" t="s">
        <v>452</v>
      </c>
    </row>
    <row r="451" spans="1:23" x14ac:dyDescent="0.2">
      <c r="A451" s="9" t="s">
        <v>807</v>
      </c>
      <c r="B451" s="9">
        <f ca="1">+IF(A451=WORLDCUP!$BI$112,1,0)</f>
        <v>0</v>
      </c>
      <c r="C451" s="9" t="str">
        <f ca="1">+WORLDCUP!BD65</f>
        <v>Saudi Arabia</v>
      </c>
      <c r="D451" s="9" t="str">
        <f ca="1">+WORLDCUP!BD67</f>
        <v>Austria</v>
      </c>
      <c r="E451" s="9" t="str">
        <f ca="1">+WORLDCUP!BD59</f>
        <v>Qatar</v>
      </c>
      <c r="F451" s="9" t="str">
        <f ca="1">+WORLDCUP!BD60</f>
        <v>Haiti</v>
      </c>
      <c r="G451" s="9" t="str">
        <f ca="1">+WORLDCUP!BD58</f>
        <v>South Korea</v>
      </c>
      <c r="H451" s="9" t="str">
        <f ca="1">+WORLDCUP!BD63</f>
        <v>Sweden</v>
      </c>
      <c r="I451" s="9" t="str">
        <f ca="1">+WORLDCUP!BD61</f>
        <v>Australia</v>
      </c>
      <c r="J451" s="9" t="str">
        <f ca="1">+WORLDCUP!BD66</f>
        <v>Iraq</v>
      </c>
      <c r="N451" s="16" t="s">
        <v>807</v>
      </c>
      <c r="O451" s="16">
        <v>450</v>
      </c>
      <c r="P451" s="16" t="s">
        <v>446</v>
      </c>
      <c r="Q451" s="16" t="s">
        <v>451</v>
      </c>
      <c r="R451" s="16" t="s">
        <v>91</v>
      </c>
      <c r="S451" s="16" t="s">
        <v>92</v>
      </c>
      <c r="T451" s="16" t="s">
        <v>90</v>
      </c>
      <c r="U451" s="16" t="s">
        <v>95</v>
      </c>
      <c r="V451" s="16" t="s">
        <v>93</v>
      </c>
      <c r="W451" s="16" t="s">
        <v>450</v>
      </c>
    </row>
    <row r="452" spans="1:23" x14ac:dyDescent="0.2">
      <c r="A452" s="9" t="s">
        <v>806</v>
      </c>
      <c r="B452" s="9">
        <f ca="1">+IF(A452=WORLDCUP!$BI$112,1,0)</f>
        <v>0</v>
      </c>
      <c r="C452" s="9" t="str">
        <f ca="1">+WORLDCUP!BD60</f>
        <v>Haiti</v>
      </c>
      <c r="D452" s="9" t="str">
        <f ca="1">+WORLDCUP!BD64</f>
        <v>Iran</v>
      </c>
      <c r="E452" s="9" t="str">
        <f ca="1">+WORLDCUP!BD59</f>
        <v>Qatar</v>
      </c>
      <c r="F452" s="9" t="str">
        <f ca="1">+WORLDCUP!BD61</f>
        <v>Australia</v>
      </c>
      <c r="G452" s="9" t="str">
        <f ca="1">+WORLDCUP!BD58</f>
        <v>South Korea</v>
      </c>
      <c r="H452" s="9" t="str">
        <f ca="1">+WORLDCUP!BD63</f>
        <v>Sweden</v>
      </c>
      <c r="I452" s="9" t="str">
        <f ca="1">+WORLDCUP!BD69</f>
        <v>Ghana</v>
      </c>
      <c r="J452" s="9" t="str">
        <f ca="1">+WORLDCUP!BD68</f>
        <v>Uzbekistan</v>
      </c>
      <c r="N452" s="16" t="s">
        <v>806</v>
      </c>
      <c r="O452" s="16">
        <v>451</v>
      </c>
      <c r="P452" s="16" t="s">
        <v>92</v>
      </c>
      <c r="Q452" s="16" t="s">
        <v>445</v>
      </c>
      <c r="R452" s="16" t="s">
        <v>91</v>
      </c>
      <c r="S452" s="16" t="s">
        <v>93</v>
      </c>
      <c r="T452" s="16" t="s">
        <v>90</v>
      </c>
      <c r="U452" s="16" t="s">
        <v>95</v>
      </c>
      <c r="V452" s="16" t="s">
        <v>453</v>
      </c>
      <c r="W452" s="16" t="s">
        <v>452</v>
      </c>
    </row>
    <row r="453" spans="1:23" x14ac:dyDescent="0.2">
      <c r="A453" s="9" t="s">
        <v>805</v>
      </c>
      <c r="B453" s="9">
        <f ca="1">+IF(A453=WORLDCUP!$BI$112,1,0)</f>
        <v>0</v>
      </c>
      <c r="C453" s="9" t="str">
        <f ca="1">+WORLDCUP!BD60</f>
        <v>Haiti</v>
      </c>
      <c r="D453" s="9" t="str">
        <f ca="1">+WORLDCUP!BD64</f>
        <v>Iran</v>
      </c>
      <c r="E453" s="9" t="str">
        <f ca="1">+WORLDCUP!BD59</f>
        <v>Qatar</v>
      </c>
      <c r="F453" s="9" t="str">
        <f ca="1">+WORLDCUP!BD61</f>
        <v>Australia</v>
      </c>
      <c r="G453" s="9" t="str">
        <f ca="1">+WORLDCUP!BD58</f>
        <v>South Korea</v>
      </c>
      <c r="H453" s="9" t="str">
        <f ca="1">+WORLDCUP!BD63</f>
        <v>Sweden</v>
      </c>
      <c r="I453" s="9" t="str">
        <f ca="1">+WORLDCUP!BD69</f>
        <v>Ghana</v>
      </c>
      <c r="J453" s="9" t="str">
        <f ca="1">+WORLDCUP!BD67</f>
        <v>Austria</v>
      </c>
      <c r="N453" s="16" t="s">
        <v>805</v>
      </c>
      <c r="O453" s="16">
        <v>452</v>
      </c>
      <c r="P453" s="16" t="s">
        <v>92</v>
      </c>
      <c r="Q453" s="16" t="s">
        <v>445</v>
      </c>
      <c r="R453" s="16" t="s">
        <v>91</v>
      </c>
      <c r="S453" s="16" t="s">
        <v>93</v>
      </c>
      <c r="T453" s="16" t="s">
        <v>90</v>
      </c>
      <c r="U453" s="16" t="s">
        <v>95</v>
      </c>
      <c r="V453" s="16" t="s">
        <v>453</v>
      </c>
      <c r="W453" s="16" t="s">
        <v>451</v>
      </c>
    </row>
    <row r="454" spans="1:23" x14ac:dyDescent="0.2">
      <c r="A454" s="9" t="s">
        <v>804</v>
      </c>
      <c r="B454" s="9">
        <f ca="1">+IF(A454=WORLDCUP!$BI$112,1,0)</f>
        <v>0</v>
      </c>
      <c r="C454" s="9" t="str">
        <f ca="1">+WORLDCUP!BD60</f>
        <v>Haiti</v>
      </c>
      <c r="D454" s="9" t="str">
        <f ca="1">+WORLDCUP!BD64</f>
        <v>Iran</v>
      </c>
      <c r="E454" s="9" t="str">
        <f ca="1">+WORLDCUP!BD59</f>
        <v>Qatar</v>
      </c>
      <c r="F454" s="9" t="str">
        <f ca="1">+WORLDCUP!BD61</f>
        <v>Australia</v>
      </c>
      <c r="G454" s="9" t="str">
        <f ca="1">+WORLDCUP!BD58</f>
        <v>South Korea</v>
      </c>
      <c r="H454" s="9" t="str">
        <f ca="1">+WORLDCUP!BD63</f>
        <v>Sweden</v>
      </c>
      <c r="I454" s="9" t="str">
        <f ca="1">+WORLDCUP!BD67</f>
        <v>Austria</v>
      </c>
      <c r="J454" s="9" t="str">
        <f ca="1">+WORLDCUP!BD68</f>
        <v>Uzbekistan</v>
      </c>
      <c r="N454" s="16" t="s">
        <v>804</v>
      </c>
      <c r="O454" s="16">
        <v>453</v>
      </c>
      <c r="P454" s="16" t="s">
        <v>92</v>
      </c>
      <c r="Q454" s="16" t="s">
        <v>445</v>
      </c>
      <c r="R454" s="16" t="s">
        <v>91</v>
      </c>
      <c r="S454" s="16" t="s">
        <v>93</v>
      </c>
      <c r="T454" s="16" t="s">
        <v>90</v>
      </c>
      <c r="U454" s="16" t="s">
        <v>95</v>
      </c>
      <c r="V454" s="16" t="s">
        <v>451</v>
      </c>
      <c r="W454" s="16" t="s">
        <v>452</v>
      </c>
    </row>
    <row r="455" spans="1:23" x14ac:dyDescent="0.2">
      <c r="A455" s="9" t="s">
        <v>803</v>
      </c>
      <c r="B455" s="9">
        <f ca="1">+IF(A455=WORLDCUP!$BI$112,1,0)</f>
        <v>0</v>
      </c>
      <c r="C455" s="9" t="str">
        <f ca="1">+WORLDCUP!BD60</f>
        <v>Haiti</v>
      </c>
      <c r="D455" s="9" t="str">
        <f ca="1">+WORLDCUP!BD64</f>
        <v>Iran</v>
      </c>
      <c r="E455" s="9" t="str">
        <f ca="1">+WORLDCUP!BD59</f>
        <v>Qatar</v>
      </c>
      <c r="F455" s="9" t="str">
        <f ca="1">+WORLDCUP!BD61</f>
        <v>Australia</v>
      </c>
      <c r="G455" s="9" t="str">
        <f ca="1">+WORLDCUP!BD58</f>
        <v>South Korea</v>
      </c>
      <c r="H455" s="9" t="str">
        <f ca="1">+WORLDCUP!BD63</f>
        <v>Sweden</v>
      </c>
      <c r="I455" s="9" t="str">
        <f ca="1">+WORLDCUP!BD69</f>
        <v>Ghana</v>
      </c>
      <c r="J455" s="9" t="str">
        <f ca="1">+WORLDCUP!BD66</f>
        <v>Iraq</v>
      </c>
      <c r="N455" s="16" t="s">
        <v>803</v>
      </c>
      <c r="O455" s="16">
        <v>454</v>
      </c>
      <c r="P455" s="16" t="s">
        <v>92</v>
      </c>
      <c r="Q455" s="16" t="s">
        <v>445</v>
      </c>
      <c r="R455" s="16" t="s">
        <v>91</v>
      </c>
      <c r="S455" s="16" t="s">
        <v>93</v>
      </c>
      <c r="T455" s="16" t="s">
        <v>90</v>
      </c>
      <c r="U455" s="16" t="s">
        <v>95</v>
      </c>
      <c r="V455" s="16" t="s">
        <v>453</v>
      </c>
      <c r="W455" s="16" t="s">
        <v>450</v>
      </c>
    </row>
    <row r="456" spans="1:23" x14ac:dyDescent="0.2">
      <c r="A456" s="9" t="s">
        <v>802</v>
      </c>
      <c r="B456" s="9">
        <f ca="1">+IF(A456=WORLDCUP!$BI$112,1,0)</f>
        <v>0</v>
      </c>
      <c r="C456" s="9" t="str">
        <f ca="1">+WORLDCUP!BD60</f>
        <v>Haiti</v>
      </c>
      <c r="D456" s="9" t="str">
        <f ca="1">+WORLDCUP!BD64</f>
        <v>Iran</v>
      </c>
      <c r="E456" s="9" t="str">
        <f ca="1">+WORLDCUP!BD59</f>
        <v>Qatar</v>
      </c>
      <c r="F456" s="9" t="str">
        <f ca="1">+WORLDCUP!BD61</f>
        <v>Australia</v>
      </c>
      <c r="G456" s="9" t="str">
        <f ca="1">+WORLDCUP!BD58</f>
        <v>South Korea</v>
      </c>
      <c r="H456" s="9" t="str">
        <f ca="1">+WORLDCUP!BD63</f>
        <v>Sweden</v>
      </c>
      <c r="I456" s="9" t="str">
        <f ca="1">+WORLDCUP!BD66</f>
        <v>Iraq</v>
      </c>
      <c r="J456" s="9" t="str">
        <f ca="1">+WORLDCUP!BD68</f>
        <v>Uzbekistan</v>
      </c>
      <c r="N456" s="16" t="s">
        <v>802</v>
      </c>
      <c r="O456" s="16">
        <v>455</v>
      </c>
      <c r="P456" s="16" t="s">
        <v>92</v>
      </c>
      <c r="Q456" s="16" t="s">
        <v>445</v>
      </c>
      <c r="R456" s="16" t="s">
        <v>91</v>
      </c>
      <c r="S456" s="16" t="s">
        <v>93</v>
      </c>
      <c r="T456" s="16" t="s">
        <v>90</v>
      </c>
      <c r="U456" s="16" t="s">
        <v>95</v>
      </c>
      <c r="V456" s="16" t="s">
        <v>450</v>
      </c>
      <c r="W456" s="16" t="s">
        <v>452</v>
      </c>
    </row>
    <row r="457" spans="1:23" x14ac:dyDescent="0.2">
      <c r="A457" s="9" t="s">
        <v>801</v>
      </c>
      <c r="B457" s="9">
        <f ca="1">+IF(A457=WORLDCUP!$BI$112,1,0)</f>
        <v>0</v>
      </c>
      <c r="C457" s="9" t="str">
        <f ca="1">+WORLDCUP!BD60</f>
        <v>Haiti</v>
      </c>
      <c r="D457" s="9" t="str">
        <f ca="1">+WORLDCUP!BD64</f>
        <v>Iran</v>
      </c>
      <c r="E457" s="9" t="str">
        <f ca="1">+WORLDCUP!BD59</f>
        <v>Qatar</v>
      </c>
      <c r="F457" s="9" t="str">
        <f ca="1">+WORLDCUP!BD61</f>
        <v>Australia</v>
      </c>
      <c r="G457" s="9" t="str">
        <f ca="1">+WORLDCUP!BD58</f>
        <v>South Korea</v>
      </c>
      <c r="H457" s="9" t="str">
        <f ca="1">+WORLDCUP!BD63</f>
        <v>Sweden</v>
      </c>
      <c r="I457" s="9" t="str">
        <f ca="1">+WORLDCUP!BD66</f>
        <v>Iraq</v>
      </c>
      <c r="J457" s="9" t="str">
        <f ca="1">+WORLDCUP!BD67</f>
        <v>Austria</v>
      </c>
      <c r="N457" s="16" t="s">
        <v>801</v>
      </c>
      <c r="O457" s="16">
        <v>456</v>
      </c>
      <c r="P457" s="16" t="s">
        <v>92</v>
      </c>
      <c r="Q457" s="16" t="s">
        <v>445</v>
      </c>
      <c r="R457" s="16" t="s">
        <v>91</v>
      </c>
      <c r="S457" s="16" t="s">
        <v>93</v>
      </c>
      <c r="T457" s="16" t="s">
        <v>90</v>
      </c>
      <c r="U457" s="16" t="s">
        <v>95</v>
      </c>
      <c r="V457" s="16" t="s">
        <v>450</v>
      </c>
      <c r="W457" s="16" t="s">
        <v>451</v>
      </c>
    </row>
    <row r="458" spans="1:23" x14ac:dyDescent="0.2">
      <c r="A458" s="9" t="s">
        <v>800</v>
      </c>
      <c r="B458" s="9">
        <f ca="1">+IF(A458=WORLDCUP!$BI$112,1,0)</f>
        <v>0</v>
      </c>
      <c r="C458" s="9" t="str">
        <f ca="1">+WORLDCUP!BD60</f>
        <v>Haiti</v>
      </c>
      <c r="D458" s="9" t="str">
        <f ca="1">+WORLDCUP!BD64</f>
        <v>Iran</v>
      </c>
      <c r="E458" s="9" t="str">
        <f ca="1">+WORLDCUP!BD59</f>
        <v>Qatar</v>
      </c>
      <c r="F458" s="9" t="str">
        <f ca="1">+WORLDCUP!BD61</f>
        <v>Australia</v>
      </c>
      <c r="G458" s="9" t="str">
        <f ca="1">+WORLDCUP!BD58</f>
        <v>South Korea</v>
      </c>
      <c r="H458" s="9" t="str">
        <f ca="1">+WORLDCUP!BD63</f>
        <v>Sweden</v>
      </c>
      <c r="I458" s="9" t="str">
        <f ca="1">+WORLDCUP!BD69</f>
        <v>Ghana</v>
      </c>
      <c r="J458" s="9" t="str">
        <f ca="1">+WORLDCUP!BD65</f>
        <v>Saudi Arabia</v>
      </c>
      <c r="N458" s="16" t="s">
        <v>800</v>
      </c>
      <c r="O458" s="16">
        <v>457</v>
      </c>
      <c r="P458" s="16" t="s">
        <v>92</v>
      </c>
      <c r="Q458" s="16" t="s">
        <v>445</v>
      </c>
      <c r="R458" s="16" t="s">
        <v>91</v>
      </c>
      <c r="S458" s="16" t="s">
        <v>93</v>
      </c>
      <c r="T458" s="16" t="s">
        <v>90</v>
      </c>
      <c r="U458" s="16" t="s">
        <v>95</v>
      </c>
      <c r="V458" s="16" t="s">
        <v>453</v>
      </c>
      <c r="W458" s="16" t="s">
        <v>446</v>
      </c>
    </row>
    <row r="459" spans="1:23" x14ac:dyDescent="0.2">
      <c r="A459" s="9" t="s">
        <v>799</v>
      </c>
      <c r="B459" s="9">
        <f ca="1">+IF(A459=WORLDCUP!$BI$112,1,0)</f>
        <v>0</v>
      </c>
      <c r="C459" s="9" t="str">
        <f ca="1">+WORLDCUP!BD65</f>
        <v>Saudi Arabia</v>
      </c>
      <c r="D459" s="9" t="str">
        <f ca="1">+WORLDCUP!BD64</f>
        <v>Iran</v>
      </c>
      <c r="E459" s="9" t="str">
        <f ca="1">+WORLDCUP!BD59</f>
        <v>Qatar</v>
      </c>
      <c r="F459" s="9" t="str">
        <f ca="1">+WORLDCUP!BD60</f>
        <v>Haiti</v>
      </c>
      <c r="G459" s="9" t="str">
        <f ca="1">+WORLDCUP!BD58</f>
        <v>South Korea</v>
      </c>
      <c r="H459" s="9" t="str">
        <f ca="1">+WORLDCUP!BD63</f>
        <v>Sweden</v>
      </c>
      <c r="I459" s="9" t="str">
        <f ca="1">+WORLDCUP!BD61</f>
        <v>Australia</v>
      </c>
      <c r="J459" s="9" t="str">
        <f ca="1">+WORLDCUP!BD68</f>
        <v>Uzbekistan</v>
      </c>
      <c r="N459" s="16" t="s">
        <v>799</v>
      </c>
      <c r="O459" s="16">
        <v>458</v>
      </c>
      <c r="P459" s="16" t="s">
        <v>446</v>
      </c>
      <c r="Q459" s="16" t="s">
        <v>445</v>
      </c>
      <c r="R459" s="16" t="s">
        <v>91</v>
      </c>
      <c r="S459" s="16" t="s">
        <v>92</v>
      </c>
      <c r="T459" s="16" t="s">
        <v>90</v>
      </c>
      <c r="U459" s="16" t="s">
        <v>95</v>
      </c>
      <c r="V459" s="16" t="s">
        <v>93</v>
      </c>
      <c r="W459" s="16" t="s">
        <v>452</v>
      </c>
    </row>
    <row r="460" spans="1:23" x14ac:dyDescent="0.2">
      <c r="A460" s="9" t="s">
        <v>798</v>
      </c>
      <c r="B460" s="9">
        <f ca="1">+IF(A460=WORLDCUP!$BI$112,1,0)</f>
        <v>0</v>
      </c>
      <c r="C460" s="9" t="str">
        <f ca="1">+WORLDCUP!BD65</f>
        <v>Saudi Arabia</v>
      </c>
      <c r="D460" s="9" t="str">
        <f ca="1">+WORLDCUP!BD64</f>
        <v>Iran</v>
      </c>
      <c r="E460" s="9" t="str">
        <f ca="1">+WORLDCUP!BD59</f>
        <v>Qatar</v>
      </c>
      <c r="F460" s="9" t="str">
        <f ca="1">+WORLDCUP!BD60</f>
        <v>Haiti</v>
      </c>
      <c r="G460" s="9" t="str">
        <f ca="1">+WORLDCUP!BD58</f>
        <v>South Korea</v>
      </c>
      <c r="H460" s="9" t="str">
        <f ca="1">+WORLDCUP!BD63</f>
        <v>Sweden</v>
      </c>
      <c r="I460" s="9" t="str">
        <f ca="1">+WORLDCUP!BD61</f>
        <v>Australia</v>
      </c>
      <c r="J460" s="9" t="str">
        <f ca="1">+WORLDCUP!BD67</f>
        <v>Austria</v>
      </c>
      <c r="N460" s="16" t="s">
        <v>798</v>
      </c>
      <c r="O460" s="16">
        <v>459</v>
      </c>
      <c r="P460" s="16" t="s">
        <v>446</v>
      </c>
      <c r="Q460" s="16" t="s">
        <v>445</v>
      </c>
      <c r="R460" s="16" t="s">
        <v>91</v>
      </c>
      <c r="S460" s="16" t="s">
        <v>92</v>
      </c>
      <c r="T460" s="16" t="s">
        <v>90</v>
      </c>
      <c r="U460" s="16" t="s">
        <v>95</v>
      </c>
      <c r="V460" s="16" t="s">
        <v>93</v>
      </c>
      <c r="W460" s="16" t="s">
        <v>451</v>
      </c>
    </row>
    <row r="461" spans="1:23" x14ac:dyDescent="0.2">
      <c r="A461" s="9" t="s">
        <v>797</v>
      </c>
      <c r="B461" s="9">
        <f ca="1">+IF(A461=WORLDCUP!$BI$112,1,0)</f>
        <v>0</v>
      </c>
      <c r="C461" s="9" t="str">
        <f ca="1">+WORLDCUP!BD65</f>
        <v>Saudi Arabia</v>
      </c>
      <c r="D461" s="9" t="str">
        <f ca="1">+WORLDCUP!BD64</f>
        <v>Iran</v>
      </c>
      <c r="E461" s="9" t="str">
        <f ca="1">+WORLDCUP!BD59</f>
        <v>Qatar</v>
      </c>
      <c r="F461" s="9" t="str">
        <f ca="1">+WORLDCUP!BD60</f>
        <v>Haiti</v>
      </c>
      <c r="G461" s="9" t="str">
        <f ca="1">+WORLDCUP!BD58</f>
        <v>South Korea</v>
      </c>
      <c r="H461" s="9" t="str">
        <f ca="1">+WORLDCUP!BD63</f>
        <v>Sweden</v>
      </c>
      <c r="I461" s="9" t="str">
        <f ca="1">+WORLDCUP!BD61</f>
        <v>Australia</v>
      </c>
      <c r="J461" s="9" t="str">
        <f ca="1">+WORLDCUP!BD66</f>
        <v>Iraq</v>
      </c>
      <c r="N461" s="16" t="s">
        <v>797</v>
      </c>
      <c r="O461" s="16">
        <v>460</v>
      </c>
      <c r="P461" s="16" t="s">
        <v>446</v>
      </c>
      <c r="Q461" s="16" t="s">
        <v>445</v>
      </c>
      <c r="R461" s="16" t="s">
        <v>91</v>
      </c>
      <c r="S461" s="16" t="s">
        <v>92</v>
      </c>
      <c r="T461" s="16" t="s">
        <v>90</v>
      </c>
      <c r="U461" s="16" t="s">
        <v>95</v>
      </c>
      <c r="V461" s="16" t="s">
        <v>93</v>
      </c>
      <c r="W461" s="16" t="s">
        <v>450</v>
      </c>
    </row>
    <row r="462" spans="1:23" x14ac:dyDescent="0.2">
      <c r="A462" s="9" t="s">
        <v>796</v>
      </c>
      <c r="B462" s="9">
        <f ca="1">+IF(A462=WORLDCUP!$BI$112,1,0)</f>
        <v>0</v>
      </c>
      <c r="C462" s="9" t="str">
        <f ca="1">+WORLDCUP!BD62</f>
        <v>Ivory Coast</v>
      </c>
      <c r="D462" s="9" t="str">
        <f ca="1">+WORLDCUP!BD67</f>
        <v>Austria</v>
      </c>
      <c r="E462" s="9" t="str">
        <f ca="1">+WORLDCUP!BD59</f>
        <v>Qatar</v>
      </c>
      <c r="F462" s="9" t="str">
        <f ca="1">+WORLDCUP!BD60</f>
        <v>Haiti</v>
      </c>
      <c r="G462" s="9" t="str">
        <f ca="1">+WORLDCUP!BD58</f>
        <v>South Korea</v>
      </c>
      <c r="H462" s="9" t="str">
        <f ca="1">+WORLDCUP!BD61</f>
        <v>Australia</v>
      </c>
      <c r="I462" s="9" t="str">
        <f ca="1">+WORLDCUP!BD69</f>
        <v>Ghana</v>
      </c>
      <c r="J462" s="9" t="str">
        <f ca="1">+WORLDCUP!BD68</f>
        <v>Uzbekistan</v>
      </c>
      <c r="N462" s="16" t="s">
        <v>796</v>
      </c>
      <c r="O462" s="16">
        <v>461</v>
      </c>
      <c r="P462" s="16" t="s">
        <v>94</v>
      </c>
      <c r="Q462" s="16" t="s">
        <v>451</v>
      </c>
      <c r="R462" s="16" t="s">
        <v>91</v>
      </c>
      <c r="S462" s="16" t="s">
        <v>92</v>
      </c>
      <c r="T462" s="16" t="s">
        <v>90</v>
      </c>
      <c r="U462" s="16" t="s">
        <v>93</v>
      </c>
      <c r="V462" s="16" t="s">
        <v>453</v>
      </c>
      <c r="W462" s="16" t="s">
        <v>452</v>
      </c>
    </row>
    <row r="463" spans="1:23" x14ac:dyDescent="0.2">
      <c r="A463" s="9" t="s">
        <v>795</v>
      </c>
      <c r="B463" s="9">
        <f ca="1">+IF(A463=WORLDCUP!$BI$112,1,0)</f>
        <v>0</v>
      </c>
      <c r="C463" s="9" t="str">
        <f ca="1">+WORLDCUP!BD62</f>
        <v>Ivory Coast</v>
      </c>
      <c r="D463" s="9" t="str">
        <f ca="1">+WORLDCUP!BD66</f>
        <v>Iraq</v>
      </c>
      <c r="E463" s="9" t="str">
        <f ca="1">+WORLDCUP!BD59</f>
        <v>Qatar</v>
      </c>
      <c r="F463" s="9" t="str">
        <f ca="1">+WORLDCUP!BD60</f>
        <v>Haiti</v>
      </c>
      <c r="G463" s="9" t="str">
        <f ca="1">+WORLDCUP!BD58</f>
        <v>South Korea</v>
      </c>
      <c r="H463" s="9" t="str">
        <f ca="1">+WORLDCUP!BD61</f>
        <v>Australia</v>
      </c>
      <c r="I463" s="9" t="str">
        <f ca="1">+WORLDCUP!BD69</f>
        <v>Ghana</v>
      </c>
      <c r="J463" s="9" t="str">
        <f ca="1">+WORLDCUP!BD68</f>
        <v>Uzbekistan</v>
      </c>
      <c r="N463" s="16" t="s">
        <v>795</v>
      </c>
      <c r="O463" s="16">
        <v>462</v>
      </c>
      <c r="P463" s="16" t="s">
        <v>94</v>
      </c>
      <c r="Q463" s="16" t="s">
        <v>450</v>
      </c>
      <c r="R463" s="16" t="s">
        <v>91</v>
      </c>
      <c r="S463" s="16" t="s">
        <v>92</v>
      </c>
      <c r="T463" s="16" t="s">
        <v>90</v>
      </c>
      <c r="U463" s="16" t="s">
        <v>93</v>
      </c>
      <c r="V463" s="16" t="s">
        <v>453</v>
      </c>
      <c r="W463" s="16" t="s">
        <v>452</v>
      </c>
    </row>
    <row r="464" spans="1:23" x14ac:dyDescent="0.2">
      <c r="A464" s="9" t="s">
        <v>794</v>
      </c>
      <c r="B464" s="9">
        <f ca="1">+IF(A464=WORLDCUP!$BI$112,1,0)</f>
        <v>0</v>
      </c>
      <c r="C464" s="9" t="str">
        <f ca="1">+WORLDCUP!BD62</f>
        <v>Ivory Coast</v>
      </c>
      <c r="D464" s="9" t="str">
        <f ca="1">+WORLDCUP!BD67</f>
        <v>Austria</v>
      </c>
      <c r="E464" s="9" t="str">
        <f ca="1">+WORLDCUP!BD59</f>
        <v>Qatar</v>
      </c>
      <c r="F464" s="9" t="str">
        <f ca="1">+WORLDCUP!BD60</f>
        <v>Haiti</v>
      </c>
      <c r="G464" s="9" t="str">
        <f ca="1">+WORLDCUP!BD58</f>
        <v>South Korea</v>
      </c>
      <c r="H464" s="9" t="str">
        <f ca="1">+WORLDCUP!BD61</f>
        <v>Australia</v>
      </c>
      <c r="I464" s="9" t="str">
        <f ca="1">+WORLDCUP!BD69</f>
        <v>Ghana</v>
      </c>
      <c r="J464" s="9" t="str">
        <f ca="1">+WORLDCUP!BD66</f>
        <v>Iraq</v>
      </c>
      <c r="N464" s="16" t="s">
        <v>794</v>
      </c>
      <c r="O464" s="16">
        <v>463</v>
      </c>
      <c r="P464" s="16" t="s">
        <v>94</v>
      </c>
      <c r="Q464" s="16" t="s">
        <v>451</v>
      </c>
      <c r="R464" s="16" t="s">
        <v>91</v>
      </c>
      <c r="S464" s="16" t="s">
        <v>92</v>
      </c>
      <c r="T464" s="16" t="s">
        <v>90</v>
      </c>
      <c r="U464" s="16" t="s">
        <v>93</v>
      </c>
      <c r="V464" s="16" t="s">
        <v>453</v>
      </c>
      <c r="W464" s="16" t="s">
        <v>450</v>
      </c>
    </row>
    <row r="465" spans="1:23" x14ac:dyDescent="0.2">
      <c r="A465" s="9" t="s">
        <v>793</v>
      </c>
      <c r="B465" s="9">
        <f ca="1">+IF(A465=WORLDCUP!$BI$112,1,0)</f>
        <v>0</v>
      </c>
      <c r="C465" s="9" t="str">
        <f ca="1">+WORLDCUP!BD62</f>
        <v>Ivory Coast</v>
      </c>
      <c r="D465" s="9" t="str">
        <f ca="1">+WORLDCUP!BD67</f>
        <v>Austria</v>
      </c>
      <c r="E465" s="9" t="str">
        <f ca="1">+WORLDCUP!BD59</f>
        <v>Qatar</v>
      </c>
      <c r="F465" s="9" t="str">
        <f ca="1">+WORLDCUP!BD60</f>
        <v>Haiti</v>
      </c>
      <c r="G465" s="9" t="str">
        <f ca="1">+WORLDCUP!BD58</f>
        <v>South Korea</v>
      </c>
      <c r="H465" s="9" t="str">
        <f ca="1">+WORLDCUP!BD61</f>
        <v>Australia</v>
      </c>
      <c r="I465" s="9" t="str">
        <f ca="1">+WORLDCUP!BD66</f>
        <v>Iraq</v>
      </c>
      <c r="J465" s="9" t="str">
        <f ca="1">+WORLDCUP!BD68</f>
        <v>Uzbekistan</v>
      </c>
      <c r="N465" s="16" t="s">
        <v>793</v>
      </c>
      <c r="O465" s="16">
        <v>464</v>
      </c>
      <c r="P465" s="16" t="s">
        <v>94</v>
      </c>
      <c r="Q465" s="16" t="s">
        <v>451</v>
      </c>
      <c r="R465" s="16" t="s">
        <v>91</v>
      </c>
      <c r="S465" s="16" t="s">
        <v>92</v>
      </c>
      <c r="T465" s="16" t="s">
        <v>90</v>
      </c>
      <c r="U465" s="16" t="s">
        <v>93</v>
      </c>
      <c r="V465" s="16" t="s">
        <v>450</v>
      </c>
      <c r="W465" s="16" t="s">
        <v>452</v>
      </c>
    </row>
    <row r="466" spans="1:23" x14ac:dyDescent="0.2">
      <c r="A466" s="9" t="s">
        <v>792</v>
      </c>
      <c r="B466" s="9">
        <f ca="1">+IF(A466=WORLDCUP!$BI$112,1,0)</f>
        <v>0</v>
      </c>
      <c r="C466" s="9" t="str">
        <f ca="1">+WORLDCUP!BD65</f>
        <v>Saudi Arabia</v>
      </c>
      <c r="D466" s="9" t="str">
        <f ca="1">+WORLDCUP!BD62</f>
        <v>Ivory Coast</v>
      </c>
      <c r="E466" s="9" t="str">
        <f ca="1">+WORLDCUP!BD59</f>
        <v>Qatar</v>
      </c>
      <c r="F466" s="9" t="str">
        <f ca="1">+WORLDCUP!BD60</f>
        <v>Haiti</v>
      </c>
      <c r="G466" s="9" t="str">
        <f ca="1">+WORLDCUP!BD58</f>
        <v>South Korea</v>
      </c>
      <c r="H466" s="9" t="str">
        <f ca="1">+WORLDCUP!BD61</f>
        <v>Australia</v>
      </c>
      <c r="I466" s="9" t="str">
        <f ca="1">+WORLDCUP!BD69</f>
        <v>Ghana</v>
      </c>
      <c r="J466" s="9" t="str">
        <f ca="1">+WORLDCUP!BD68</f>
        <v>Uzbekistan</v>
      </c>
      <c r="N466" s="16" t="s">
        <v>792</v>
      </c>
      <c r="O466" s="16">
        <v>465</v>
      </c>
      <c r="P466" s="16" t="s">
        <v>446</v>
      </c>
      <c r="Q466" s="16" t="s">
        <v>94</v>
      </c>
      <c r="R466" s="16" t="s">
        <v>91</v>
      </c>
      <c r="S466" s="16" t="s">
        <v>92</v>
      </c>
      <c r="T466" s="16" t="s">
        <v>90</v>
      </c>
      <c r="U466" s="16" t="s">
        <v>93</v>
      </c>
      <c r="V466" s="16" t="s">
        <v>453</v>
      </c>
      <c r="W466" s="16" t="s">
        <v>452</v>
      </c>
    </row>
    <row r="467" spans="1:23" x14ac:dyDescent="0.2">
      <c r="A467" s="9" t="s">
        <v>791</v>
      </c>
      <c r="B467" s="9">
        <f ca="1">+IF(A467=WORLDCUP!$BI$112,1,0)</f>
        <v>0</v>
      </c>
      <c r="C467" s="9" t="str">
        <f ca="1">+WORLDCUP!BD65</f>
        <v>Saudi Arabia</v>
      </c>
      <c r="D467" s="9" t="str">
        <f ca="1">+WORLDCUP!BD67</f>
        <v>Austria</v>
      </c>
      <c r="E467" s="9" t="str">
        <f ca="1">+WORLDCUP!BD59</f>
        <v>Qatar</v>
      </c>
      <c r="F467" s="9" t="str">
        <f ca="1">+WORLDCUP!BD60</f>
        <v>Haiti</v>
      </c>
      <c r="G467" s="9" t="str">
        <f ca="1">+WORLDCUP!BD58</f>
        <v>South Korea</v>
      </c>
      <c r="H467" s="9" t="str">
        <f ca="1">+WORLDCUP!BD61</f>
        <v>Australia</v>
      </c>
      <c r="I467" s="9" t="str">
        <f ca="1">+WORLDCUP!BD69</f>
        <v>Ghana</v>
      </c>
      <c r="J467" s="9" t="str">
        <f ca="1">+WORLDCUP!BD62</f>
        <v>Ivory Coast</v>
      </c>
      <c r="N467" s="16" t="s">
        <v>791</v>
      </c>
      <c r="O467" s="16">
        <v>466</v>
      </c>
      <c r="P467" s="16" t="s">
        <v>446</v>
      </c>
      <c r="Q467" s="16" t="s">
        <v>451</v>
      </c>
      <c r="R467" s="16" t="s">
        <v>91</v>
      </c>
      <c r="S467" s="16" t="s">
        <v>92</v>
      </c>
      <c r="T467" s="16" t="s">
        <v>90</v>
      </c>
      <c r="U467" s="16" t="s">
        <v>93</v>
      </c>
      <c r="V467" s="16" t="s">
        <v>453</v>
      </c>
      <c r="W467" s="16" t="s">
        <v>94</v>
      </c>
    </row>
    <row r="468" spans="1:23" x14ac:dyDescent="0.2">
      <c r="A468" s="9" t="s">
        <v>790</v>
      </c>
      <c r="B468" s="9">
        <f ca="1">+IF(A468=WORLDCUP!$BI$112,1,0)</f>
        <v>0</v>
      </c>
      <c r="C468" s="9" t="str">
        <f ca="1">+WORLDCUP!BD65</f>
        <v>Saudi Arabia</v>
      </c>
      <c r="D468" s="9" t="str">
        <f ca="1">+WORLDCUP!BD67</f>
        <v>Austria</v>
      </c>
      <c r="E468" s="9" t="str">
        <f ca="1">+WORLDCUP!BD59</f>
        <v>Qatar</v>
      </c>
      <c r="F468" s="9" t="str">
        <f ca="1">+WORLDCUP!BD60</f>
        <v>Haiti</v>
      </c>
      <c r="G468" s="9" t="str">
        <f ca="1">+WORLDCUP!BD58</f>
        <v>South Korea</v>
      </c>
      <c r="H468" s="9" t="str">
        <f ca="1">+WORLDCUP!BD61</f>
        <v>Australia</v>
      </c>
      <c r="I468" s="9" t="str">
        <f ca="1">+WORLDCUP!BD62</f>
        <v>Ivory Coast</v>
      </c>
      <c r="J468" s="9" t="str">
        <f ca="1">+WORLDCUP!BD68</f>
        <v>Uzbekistan</v>
      </c>
      <c r="N468" s="16" t="s">
        <v>790</v>
      </c>
      <c r="O468" s="16">
        <v>467</v>
      </c>
      <c r="P468" s="16" t="s">
        <v>446</v>
      </c>
      <c r="Q468" s="16" t="s">
        <v>451</v>
      </c>
      <c r="R468" s="16" t="s">
        <v>91</v>
      </c>
      <c r="S468" s="16" t="s">
        <v>92</v>
      </c>
      <c r="T468" s="16" t="s">
        <v>90</v>
      </c>
      <c r="U468" s="16" t="s">
        <v>93</v>
      </c>
      <c r="V468" s="16" t="s">
        <v>94</v>
      </c>
      <c r="W468" s="16" t="s">
        <v>452</v>
      </c>
    </row>
    <row r="469" spans="1:23" x14ac:dyDescent="0.2">
      <c r="A469" s="9" t="s">
        <v>789</v>
      </c>
      <c r="B469" s="9">
        <f ca="1">+IF(A469=WORLDCUP!$BI$112,1,0)</f>
        <v>0</v>
      </c>
      <c r="C469" s="9" t="str">
        <f ca="1">+WORLDCUP!BD65</f>
        <v>Saudi Arabia</v>
      </c>
      <c r="D469" s="9" t="str">
        <f ca="1">+WORLDCUP!BD62</f>
        <v>Ivory Coast</v>
      </c>
      <c r="E469" s="9" t="str">
        <f ca="1">+WORLDCUP!BD59</f>
        <v>Qatar</v>
      </c>
      <c r="F469" s="9" t="str">
        <f ca="1">+WORLDCUP!BD60</f>
        <v>Haiti</v>
      </c>
      <c r="G469" s="9" t="str">
        <f ca="1">+WORLDCUP!BD58</f>
        <v>South Korea</v>
      </c>
      <c r="H469" s="9" t="str">
        <f ca="1">+WORLDCUP!BD61</f>
        <v>Australia</v>
      </c>
      <c r="I469" s="9" t="str">
        <f ca="1">+WORLDCUP!BD69</f>
        <v>Ghana</v>
      </c>
      <c r="J469" s="9" t="str">
        <f ca="1">+WORLDCUP!BD66</f>
        <v>Iraq</v>
      </c>
      <c r="N469" s="16" t="s">
        <v>789</v>
      </c>
      <c r="O469" s="16">
        <v>468</v>
      </c>
      <c r="P469" s="16" t="s">
        <v>446</v>
      </c>
      <c r="Q469" s="16" t="s">
        <v>94</v>
      </c>
      <c r="R469" s="16" t="s">
        <v>91</v>
      </c>
      <c r="S469" s="16" t="s">
        <v>92</v>
      </c>
      <c r="T469" s="16" t="s">
        <v>90</v>
      </c>
      <c r="U469" s="16" t="s">
        <v>93</v>
      </c>
      <c r="V469" s="16" t="s">
        <v>453</v>
      </c>
      <c r="W469" s="16" t="s">
        <v>450</v>
      </c>
    </row>
    <row r="470" spans="1:23" x14ac:dyDescent="0.2">
      <c r="A470" s="9" t="s">
        <v>788</v>
      </c>
      <c r="B470" s="9">
        <f ca="1">+IF(A470=WORLDCUP!$BI$112,1,0)</f>
        <v>0</v>
      </c>
      <c r="C470" s="9" t="str">
        <f ca="1">+WORLDCUP!BD65</f>
        <v>Saudi Arabia</v>
      </c>
      <c r="D470" s="9" t="str">
        <f ca="1">+WORLDCUP!BD62</f>
        <v>Ivory Coast</v>
      </c>
      <c r="E470" s="9" t="str">
        <f ca="1">+WORLDCUP!BD59</f>
        <v>Qatar</v>
      </c>
      <c r="F470" s="9" t="str">
        <f ca="1">+WORLDCUP!BD60</f>
        <v>Haiti</v>
      </c>
      <c r="G470" s="9" t="str">
        <f ca="1">+WORLDCUP!BD58</f>
        <v>South Korea</v>
      </c>
      <c r="H470" s="9" t="str">
        <f ca="1">+WORLDCUP!BD61</f>
        <v>Australia</v>
      </c>
      <c r="I470" s="9" t="str">
        <f ca="1">+WORLDCUP!BD66</f>
        <v>Iraq</v>
      </c>
      <c r="J470" s="9" t="str">
        <f ca="1">+WORLDCUP!BD68</f>
        <v>Uzbekistan</v>
      </c>
      <c r="N470" s="16" t="s">
        <v>788</v>
      </c>
      <c r="O470" s="16">
        <v>469</v>
      </c>
      <c r="P470" s="16" t="s">
        <v>446</v>
      </c>
      <c r="Q470" s="16" t="s">
        <v>94</v>
      </c>
      <c r="R470" s="16" t="s">
        <v>91</v>
      </c>
      <c r="S470" s="16" t="s">
        <v>92</v>
      </c>
      <c r="T470" s="16" t="s">
        <v>90</v>
      </c>
      <c r="U470" s="16" t="s">
        <v>93</v>
      </c>
      <c r="V470" s="16" t="s">
        <v>450</v>
      </c>
      <c r="W470" s="16" t="s">
        <v>452</v>
      </c>
    </row>
    <row r="471" spans="1:23" x14ac:dyDescent="0.2">
      <c r="A471" s="9" t="s">
        <v>787</v>
      </c>
      <c r="B471" s="9">
        <f ca="1">+IF(A471=WORLDCUP!$BI$112,1,0)</f>
        <v>0</v>
      </c>
      <c r="C471" s="9" t="str">
        <f ca="1">+WORLDCUP!BD65</f>
        <v>Saudi Arabia</v>
      </c>
      <c r="D471" s="9" t="str">
        <f ca="1">+WORLDCUP!BD67</f>
        <v>Austria</v>
      </c>
      <c r="E471" s="9" t="str">
        <f ca="1">+WORLDCUP!BD59</f>
        <v>Qatar</v>
      </c>
      <c r="F471" s="9" t="str">
        <f ca="1">+WORLDCUP!BD60</f>
        <v>Haiti</v>
      </c>
      <c r="G471" s="9" t="str">
        <f ca="1">+WORLDCUP!BD58</f>
        <v>South Korea</v>
      </c>
      <c r="H471" s="9" t="str">
        <f ca="1">+WORLDCUP!BD61</f>
        <v>Australia</v>
      </c>
      <c r="I471" s="9" t="str">
        <f ca="1">+WORLDCUP!BD62</f>
        <v>Ivory Coast</v>
      </c>
      <c r="J471" s="9" t="str">
        <f ca="1">+WORLDCUP!BD66</f>
        <v>Iraq</v>
      </c>
      <c r="N471" s="16" t="s">
        <v>787</v>
      </c>
      <c r="O471" s="16">
        <v>470</v>
      </c>
      <c r="P471" s="16" t="s">
        <v>446</v>
      </c>
      <c r="Q471" s="16" t="s">
        <v>451</v>
      </c>
      <c r="R471" s="16" t="s">
        <v>91</v>
      </c>
      <c r="S471" s="16" t="s">
        <v>92</v>
      </c>
      <c r="T471" s="16" t="s">
        <v>90</v>
      </c>
      <c r="U471" s="16" t="s">
        <v>93</v>
      </c>
      <c r="V471" s="16" t="s">
        <v>94</v>
      </c>
      <c r="W471" s="16" t="s">
        <v>450</v>
      </c>
    </row>
    <row r="472" spans="1:23" x14ac:dyDescent="0.2">
      <c r="A472" s="9" t="s">
        <v>786</v>
      </c>
      <c r="B472" s="9">
        <f ca="1">+IF(A472=WORLDCUP!$BI$112,1,0)</f>
        <v>0</v>
      </c>
      <c r="C472" s="9" t="str">
        <f ca="1">+WORLDCUP!BD62</f>
        <v>Ivory Coast</v>
      </c>
      <c r="D472" s="9" t="str">
        <f ca="1">+WORLDCUP!BD64</f>
        <v>Iran</v>
      </c>
      <c r="E472" s="9" t="str">
        <f ca="1">+WORLDCUP!BD59</f>
        <v>Qatar</v>
      </c>
      <c r="F472" s="9" t="str">
        <f ca="1">+WORLDCUP!BD60</f>
        <v>Haiti</v>
      </c>
      <c r="G472" s="9" t="str">
        <f ca="1">+WORLDCUP!BD58</f>
        <v>South Korea</v>
      </c>
      <c r="H472" s="9" t="str">
        <f ca="1">+WORLDCUP!BD61</f>
        <v>Australia</v>
      </c>
      <c r="I472" s="9" t="str">
        <f ca="1">+WORLDCUP!BD69</f>
        <v>Ghana</v>
      </c>
      <c r="J472" s="9" t="str">
        <f ca="1">+WORLDCUP!BD68</f>
        <v>Uzbekistan</v>
      </c>
      <c r="N472" s="16" t="s">
        <v>786</v>
      </c>
      <c r="O472" s="16">
        <v>471</v>
      </c>
      <c r="P472" s="16" t="s">
        <v>94</v>
      </c>
      <c r="Q472" s="16" t="s">
        <v>445</v>
      </c>
      <c r="R472" s="16" t="s">
        <v>91</v>
      </c>
      <c r="S472" s="16" t="s">
        <v>92</v>
      </c>
      <c r="T472" s="16" t="s">
        <v>90</v>
      </c>
      <c r="U472" s="16" t="s">
        <v>93</v>
      </c>
      <c r="V472" s="16" t="s">
        <v>453</v>
      </c>
      <c r="W472" s="16" t="s">
        <v>452</v>
      </c>
    </row>
    <row r="473" spans="1:23" x14ac:dyDescent="0.2">
      <c r="A473" s="9" t="s">
        <v>785</v>
      </c>
      <c r="B473" s="9">
        <f ca="1">+IF(A473=WORLDCUP!$BI$112,1,0)</f>
        <v>0</v>
      </c>
      <c r="C473" s="9" t="str">
        <f ca="1">+WORLDCUP!BD62</f>
        <v>Ivory Coast</v>
      </c>
      <c r="D473" s="9" t="str">
        <f ca="1">+WORLDCUP!BD64</f>
        <v>Iran</v>
      </c>
      <c r="E473" s="9" t="str">
        <f ca="1">+WORLDCUP!BD59</f>
        <v>Qatar</v>
      </c>
      <c r="F473" s="9" t="str">
        <f ca="1">+WORLDCUP!BD60</f>
        <v>Haiti</v>
      </c>
      <c r="G473" s="9" t="str">
        <f ca="1">+WORLDCUP!BD58</f>
        <v>South Korea</v>
      </c>
      <c r="H473" s="9" t="str">
        <f ca="1">+WORLDCUP!BD61</f>
        <v>Australia</v>
      </c>
      <c r="I473" s="9" t="str">
        <f ca="1">+WORLDCUP!BD69</f>
        <v>Ghana</v>
      </c>
      <c r="J473" s="9" t="str">
        <f ca="1">+WORLDCUP!BD67</f>
        <v>Austria</v>
      </c>
      <c r="N473" s="16" t="s">
        <v>785</v>
      </c>
      <c r="O473" s="16">
        <v>472</v>
      </c>
      <c r="P473" s="16" t="s">
        <v>94</v>
      </c>
      <c r="Q473" s="16" t="s">
        <v>445</v>
      </c>
      <c r="R473" s="16" t="s">
        <v>91</v>
      </c>
      <c r="S473" s="16" t="s">
        <v>92</v>
      </c>
      <c r="T473" s="16" t="s">
        <v>90</v>
      </c>
      <c r="U473" s="16" t="s">
        <v>93</v>
      </c>
      <c r="V473" s="16" t="s">
        <v>453</v>
      </c>
      <c r="W473" s="16" t="s">
        <v>451</v>
      </c>
    </row>
    <row r="474" spans="1:23" x14ac:dyDescent="0.2">
      <c r="A474" s="9" t="s">
        <v>784</v>
      </c>
      <c r="B474" s="9">
        <f ca="1">+IF(A474=WORLDCUP!$BI$112,1,0)</f>
        <v>0</v>
      </c>
      <c r="C474" s="9" t="str">
        <f ca="1">+WORLDCUP!BD62</f>
        <v>Ivory Coast</v>
      </c>
      <c r="D474" s="9" t="str">
        <f ca="1">+WORLDCUP!BD64</f>
        <v>Iran</v>
      </c>
      <c r="E474" s="9" t="str">
        <f ca="1">+WORLDCUP!BD59</f>
        <v>Qatar</v>
      </c>
      <c r="F474" s="9" t="str">
        <f ca="1">+WORLDCUP!BD60</f>
        <v>Haiti</v>
      </c>
      <c r="G474" s="9" t="str">
        <f ca="1">+WORLDCUP!BD58</f>
        <v>South Korea</v>
      </c>
      <c r="H474" s="9" t="str">
        <f ca="1">+WORLDCUP!BD61</f>
        <v>Australia</v>
      </c>
      <c r="I474" s="9" t="str">
        <f ca="1">+WORLDCUP!BD67</f>
        <v>Austria</v>
      </c>
      <c r="J474" s="9" t="str">
        <f ca="1">+WORLDCUP!BD68</f>
        <v>Uzbekistan</v>
      </c>
      <c r="N474" s="16" t="s">
        <v>784</v>
      </c>
      <c r="O474" s="16">
        <v>473</v>
      </c>
      <c r="P474" s="16" t="s">
        <v>94</v>
      </c>
      <c r="Q474" s="16" t="s">
        <v>445</v>
      </c>
      <c r="R474" s="16" t="s">
        <v>91</v>
      </c>
      <c r="S474" s="16" t="s">
        <v>92</v>
      </c>
      <c r="T474" s="16" t="s">
        <v>90</v>
      </c>
      <c r="U474" s="16" t="s">
        <v>93</v>
      </c>
      <c r="V474" s="16" t="s">
        <v>451</v>
      </c>
      <c r="W474" s="16" t="s">
        <v>452</v>
      </c>
    </row>
    <row r="475" spans="1:23" x14ac:dyDescent="0.2">
      <c r="A475" s="9" t="s">
        <v>783</v>
      </c>
      <c r="B475" s="9">
        <f ca="1">+IF(A475=WORLDCUP!$BI$112,1,0)</f>
        <v>0</v>
      </c>
      <c r="C475" s="9" t="str">
        <f ca="1">+WORLDCUP!BD62</f>
        <v>Ivory Coast</v>
      </c>
      <c r="D475" s="9" t="str">
        <f ca="1">+WORLDCUP!BD64</f>
        <v>Iran</v>
      </c>
      <c r="E475" s="9" t="str">
        <f ca="1">+WORLDCUP!BD59</f>
        <v>Qatar</v>
      </c>
      <c r="F475" s="9" t="str">
        <f ca="1">+WORLDCUP!BD60</f>
        <v>Haiti</v>
      </c>
      <c r="G475" s="9" t="str">
        <f ca="1">+WORLDCUP!BD58</f>
        <v>South Korea</v>
      </c>
      <c r="H475" s="9" t="str">
        <f ca="1">+WORLDCUP!BD61</f>
        <v>Australia</v>
      </c>
      <c r="I475" s="9" t="str">
        <f ca="1">+WORLDCUP!BD69</f>
        <v>Ghana</v>
      </c>
      <c r="J475" s="9" t="str">
        <f ca="1">+WORLDCUP!BD66</f>
        <v>Iraq</v>
      </c>
      <c r="N475" s="16" t="s">
        <v>783</v>
      </c>
      <c r="O475" s="16">
        <v>474</v>
      </c>
      <c r="P475" s="16" t="s">
        <v>94</v>
      </c>
      <c r="Q475" s="16" t="s">
        <v>445</v>
      </c>
      <c r="R475" s="16" t="s">
        <v>91</v>
      </c>
      <c r="S475" s="16" t="s">
        <v>92</v>
      </c>
      <c r="T475" s="16" t="s">
        <v>90</v>
      </c>
      <c r="U475" s="16" t="s">
        <v>93</v>
      </c>
      <c r="V475" s="16" t="s">
        <v>453</v>
      </c>
      <c r="W475" s="16" t="s">
        <v>450</v>
      </c>
    </row>
    <row r="476" spans="1:23" x14ac:dyDescent="0.2">
      <c r="A476" s="9" t="s">
        <v>782</v>
      </c>
      <c r="B476" s="9">
        <f ca="1">+IF(A476=WORLDCUP!$BI$112,1,0)</f>
        <v>0</v>
      </c>
      <c r="C476" s="9" t="str">
        <f ca="1">+WORLDCUP!BD62</f>
        <v>Ivory Coast</v>
      </c>
      <c r="D476" s="9" t="str">
        <f ca="1">+WORLDCUP!BD64</f>
        <v>Iran</v>
      </c>
      <c r="E476" s="9" t="str">
        <f ca="1">+WORLDCUP!BD59</f>
        <v>Qatar</v>
      </c>
      <c r="F476" s="9" t="str">
        <f ca="1">+WORLDCUP!BD60</f>
        <v>Haiti</v>
      </c>
      <c r="G476" s="9" t="str">
        <f ca="1">+WORLDCUP!BD58</f>
        <v>South Korea</v>
      </c>
      <c r="H476" s="9" t="str">
        <f ca="1">+WORLDCUP!BD61</f>
        <v>Australia</v>
      </c>
      <c r="I476" s="9" t="str">
        <f ca="1">+WORLDCUP!BD66</f>
        <v>Iraq</v>
      </c>
      <c r="J476" s="9" t="str">
        <f ca="1">+WORLDCUP!BD68</f>
        <v>Uzbekistan</v>
      </c>
      <c r="N476" s="16" t="s">
        <v>782</v>
      </c>
      <c r="O476" s="16">
        <v>475</v>
      </c>
      <c r="P476" s="16" t="s">
        <v>94</v>
      </c>
      <c r="Q476" s="16" t="s">
        <v>445</v>
      </c>
      <c r="R476" s="16" t="s">
        <v>91</v>
      </c>
      <c r="S476" s="16" t="s">
        <v>92</v>
      </c>
      <c r="T476" s="16" t="s">
        <v>90</v>
      </c>
      <c r="U476" s="16" t="s">
        <v>93</v>
      </c>
      <c r="V476" s="16" t="s">
        <v>450</v>
      </c>
      <c r="W476" s="16" t="s">
        <v>452</v>
      </c>
    </row>
    <row r="477" spans="1:23" x14ac:dyDescent="0.2">
      <c r="A477" s="9" t="s">
        <v>781</v>
      </c>
      <c r="B477" s="9">
        <f ca="1">+IF(A477=WORLDCUP!$BI$112,1,0)</f>
        <v>0</v>
      </c>
      <c r="C477" s="9" t="str">
        <f ca="1">+WORLDCUP!BD62</f>
        <v>Ivory Coast</v>
      </c>
      <c r="D477" s="9" t="str">
        <f ca="1">+WORLDCUP!BD64</f>
        <v>Iran</v>
      </c>
      <c r="E477" s="9" t="str">
        <f ca="1">+WORLDCUP!BD59</f>
        <v>Qatar</v>
      </c>
      <c r="F477" s="9" t="str">
        <f ca="1">+WORLDCUP!BD60</f>
        <v>Haiti</v>
      </c>
      <c r="G477" s="9" t="str">
        <f ca="1">+WORLDCUP!BD58</f>
        <v>South Korea</v>
      </c>
      <c r="H477" s="9" t="str">
        <f ca="1">+WORLDCUP!BD61</f>
        <v>Australia</v>
      </c>
      <c r="I477" s="9" t="str">
        <f ca="1">+WORLDCUP!BD66</f>
        <v>Iraq</v>
      </c>
      <c r="J477" s="9" t="str">
        <f ca="1">+WORLDCUP!BD67</f>
        <v>Austria</v>
      </c>
      <c r="N477" s="16" t="s">
        <v>781</v>
      </c>
      <c r="O477" s="16">
        <v>476</v>
      </c>
      <c r="P477" s="16" t="s">
        <v>94</v>
      </c>
      <c r="Q477" s="16" t="s">
        <v>445</v>
      </c>
      <c r="R477" s="16" t="s">
        <v>91</v>
      </c>
      <c r="S477" s="16" t="s">
        <v>92</v>
      </c>
      <c r="T477" s="16" t="s">
        <v>90</v>
      </c>
      <c r="U477" s="16" t="s">
        <v>93</v>
      </c>
      <c r="V477" s="16" t="s">
        <v>450</v>
      </c>
      <c r="W477" s="16" t="s">
        <v>451</v>
      </c>
    </row>
    <row r="478" spans="1:23" x14ac:dyDescent="0.2">
      <c r="A478" s="9" t="s">
        <v>780</v>
      </c>
      <c r="B478" s="9">
        <f ca="1">+IF(A478=WORLDCUP!$BI$112,1,0)</f>
        <v>0</v>
      </c>
      <c r="C478" s="9" t="str">
        <f ca="1">+WORLDCUP!BD65</f>
        <v>Saudi Arabia</v>
      </c>
      <c r="D478" s="9" t="str">
        <f ca="1">+WORLDCUP!BD64</f>
        <v>Iran</v>
      </c>
      <c r="E478" s="9" t="str">
        <f ca="1">+WORLDCUP!BD59</f>
        <v>Qatar</v>
      </c>
      <c r="F478" s="9" t="str">
        <f ca="1">+WORLDCUP!BD60</f>
        <v>Haiti</v>
      </c>
      <c r="G478" s="9" t="str">
        <f ca="1">+WORLDCUP!BD58</f>
        <v>South Korea</v>
      </c>
      <c r="H478" s="9" t="str">
        <f ca="1">+WORLDCUP!BD61</f>
        <v>Australia</v>
      </c>
      <c r="I478" s="9" t="str">
        <f ca="1">+WORLDCUP!BD69</f>
        <v>Ghana</v>
      </c>
      <c r="J478" s="9" t="str">
        <f ca="1">+WORLDCUP!BD62</f>
        <v>Ivory Coast</v>
      </c>
      <c r="N478" s="16" t="s">
        <v>780</v>
      </c>
      <c r="O478" s="16">
        <v>477</v>
      </c>
      <c r="P478" s="16" t="s">
        <v>446</v>
      </c>
      <c r="Q478" s="16" t="s">
        <v>445</v>
      </c>
      <c r="R478" s="16" t="s">
        <v>91</v>
      </c>
      <c r="S478" s="16" t="s">
        <v>92</v>
      </c>
      <c r="T478" s="16" t="s">
        <v>90</v>
      </c>
      <c r="U478" s="16" t="s">
        <v>93</v>
      </c>
      <c r="V478" s="16" t="s">
        <v>453</v>
      </c>
      <c r="W478" s="16" t="s">
        <v>94</v>
      </c>
    </row>
    <row r="479" spans="1:23" x14ac:dyDescent="0.2">
      <c r="A479" s="9" t="s">
        <v>779</v>
      </c>
      <c r="B479" s="9">
        <f ca="1">+IF(A479=WORLDCUP!$BI$112,1,0)</f>
        <v>0</v>
      </c>
      <c r="C479" s="9" t="str">
        <f ca="1">+WORLDCUP!BD65</f>
        <v>Saudi Arabia</v>
      </c>
      <c r="D479" s="9" t="str">
        <f ca="1">+WORLDCUP!BD64</f>
        <v>Iran</v>
      </c>
      <c r="E479" s="9" t="str">
        <f ca="1">+WORLDCUP!BD59</f>
        <v>Qatar</v>
      </c>
      <c r="F479" s="9" t="str">
        <f ca="1">+WORLDCUP!BD60</f>
        <v>Haiti</v>
      </c>
      <c r="G479" s="9" t="str">
        <f ca="1">+WORLDCUP!BD58</f>
        <v>South Korea</v>
      </c>
      <c r="H479" s="9" t="str">
        <f ca="1">+WORLDCUP!BD61</f>
        <v>Australia</v>
      </c>
      <c r="I479" s="9" t="str">
        <f ca="1">+WORLDCUP!BD62</f>
        <v>Ivory Coast</v>
      </c>
      <c r="J479" s="9" t="str">
        <f ca="1">+WORLDCUP!BD68</f>
        <v>Uzbekistan</v>
      </c>
      <c r="N479" s="16" t="s">
        <v>779</v>
      </c>
      <c r="O479" s="16">
        <v>478</v>
      </c>
      <c r="P479" s="16" t="s">
        <v>446</v>
      </c>
      <c r="Q479" s="16" t="s">
        <v>445</v>
      </c>
      <c r="R479" s="16" t="s">
        <v>91</v>
      </c>
      <c r="S479" s="16" t="s">
        <v>92</v>
      </c>
      <c r="T479" s="16" t="s">
        <v>90</v>
      </c>
      <c r="U479" s="16" t="s">
        <v>93</v>
      </c>
      <c r="V479" s="16" t="s">
        <v>94</v>
      </c>
      <c r="W479" s="16" t="s">
        <v>452</v>
      </c>
    </row>
    <row r="480" spans="1:23" x14ac:dyDescent="0.2">
      <c r="A480" s="9" t="s">
        <v>778</v>
      </c>
      <c r="B480" s="9">
        <f ca="1">+IF(A480=WORLDCUP!$BI$112,1,0)</f>
        <v>0</v>
      </c>
      <c r="C480" s="9" t="str">
        <f ca="1">+WORLDCUP!BD65</f>
        <v>Saudi Arabia</v>
      </c>
      <c r="D480" s="9" t="str">
        <f ca="1">+WORLDCUP!BD64</f>
        <v>Iran</v>
      </c>
      <c r="E480" s="9" t="str">
        <f ca="1">+WORLDCUP!BD59</f>
        <v>Qatar</v>
      </c>
      <c r="F480" s="9" t="str">
        <f ca="1">+WORLDCUP!BD60</f>
        <v>Haiti</v>
      </c>
      <c r="G480" s="9" t="str">
        <f ca="1">+WORLDCUP!BD58</f>
        <v>South Korea</v>
      </c>
      <c r="H480" s="9" t="str">
        <f ca="1">+WORLDCUP!BD61</f>
        <v>Australia</v>
      </c>
      <c r="I480" s="9" t="str">
        <f ca="1">+WORLDCUP!BD62</f>
        <v>Ivory Coast</v>
      </c>
      <c r="J480" s="9" t="str">
        <f ca="1">+WORLDCUP!BD67</f>
        <v>Austria</v>
      </c>
      <c r="N480" s="16" t="s">
        <v>778</v>
      </c>
      <c r="O480" s="16">
        <v>479</v>
      </c>
      <c r="P480" s="16" t="s">
        <v>446</v>
      </c>
      <c r="Q480" s="16" t="s">
        <v>445</v>
      </c>
      <c r="R480" s="16" t="s">
        <v>91</v>
      </c>
      <c r="S480" s="16" t="s">
        <v>92</v>
      </c>
      <c r="T480" s="16" t="s">
        <v>90</v>
      </c>
      <c r="U480" s="16" t="s">
        <v>93</v>
      </c>
      <c r="V480" s="16" t="s">
        <v>94</v>
      </c>
      <c r="W480" s="16" t="s">
        <v>451</v>
      </c>
    </row>
    <row r="481" spans="1:23" x14ac:dyDescent="0.2">
      <c r="A481" s="9" t="s">
        <v>777</v>
      </c>
      <c r="B481" s="9">
        <f ca="1">+IF(A481=WORLDCUP!$BI$112,1,0)</f>
        <v>0</v>
      </c>
      <c r="C481" s="9" t="str">
        <f ca="1">+WORLDCUP!BD65</f>
        <v>Saudi Arabia</v>
      </c>
      <c r="D481" s="9" t="str">
        <f ca="1">+WORLDCUP!BD64</f>
        <v>Iran</v>
      </c>
      <c r="E481" s="9" t="str">
        <f ca="1">+WORLDCUP!BD59</f>
        <v>Qatar</v>
      </c>
      <c r="F481" s="9" t="str">
        <f ca="1">+WORLDCUP!BD60</f>
        <v>Haiti</v>
      </c>
      <c r="G481" s="9" t="str">
        <f ca="1">+WORLDCUP!BD58</f>
        <v>South Korea</v>
      </c>
      <c r="H481" s="9" t="str">
        <f ca="1">+WORLDCUP!BD61</f>
        <v>Australia</v>
      </c>
      <c r="I481" s="9" t="str">
        <f ca="1">+WORLDCUP!BD62</f>
        <v>Ivory Coast</v>
      </c>
      <c r="J481" s="9" t="str">
        <f ca="1">+WORLDCUP!BD66</f>
        <v>Iraq</v>
      </c>
      <c r="N481" s="16" t="s">
        <v>777</v>
      </c>
      <c r="O481" s="16">
        <v>480</v>
      </c>
      <c r="P481" s="16" t="s">
        <v>446</v>
      </c>
      <c r="Q481" s="16" t="s">
        <v>445</v>
      </c>
      <c r="R481" s="16" t="s">
        <v>91</v>
      </c>
      <c r="S481" s="16" t="s">
        <v>92</v>
      </c>
      <c r="T481" s="16" t="s">
        <v>90</v>
      </c>
      <c r="U481" s="16" t="s">
        <v>93</v>
      </c>
      <c r="V481" s="16" t="s">
        <v>94</v>
      </c>
      <c r="W481" s="16" t="s">
        <v>450</v>
      </c>
    </row>
    <row r="482" spans="1:23" x14ac:dyDescent="0.2">
      <c r="A482" s="9" t="s">
        <v>469</v>
      </c>
      <c r="B482" s="9">
        <f ca="1">+IF(A482=WORLDCUP!$BI$112,1,0)</f>
        <v>0</v>
      </c>
      <c r="C482" s="9" t="str">
        <f ca="1">+WORLDCUP!BD60</f>
        <v>Haiti</v>
      </c>
      <c r="D482" s="9" t="str">
        <f ca="1">+WORLDCUP!BD62</f>
        <v>Ivory Coast</v>
      </c>
      <c r="E482" s="9" t="str">
        <f ca="1">+WORLDCUP!BD59</f>
        <v>Qatar</v>
      </c>
      <c r="F482" s="9" t="str">
        <f ca="1">+WORLDCUP!BD61</f>
        <v>Australia</v>
      </c>
      <c r="G482" s="9" t="str">
        <f ca="1">+WORLDCUP!BD58</f>
        <v>South Korea</v>
      </c>
      <c r="H482" s="9" t="str">
        <f ca="1">+WORLDCUP!BD63</f>
        <v>Sweden</v>
      </c>
      <c r="I482" s="9" t="str">
        <f ca="1">+WORLDCUP!BD69</f>
        <v>Ghana</v>
      </c>
      <c r="J482" s="9" t="str">
        <f ca="1">+WORLDCUP!BD68</f>
        <v>Uzbekistan</v>
      </c>
      <c r="N482" s="16" t="s">
        <v>469</v>
      </c>
      <c r="O482" s="16">
        <v>481</v>
      </c>
      <c r="P482" s="16" t="s">
        <v>92</v>
      </c>
      <c r="Q482" s="16" t="s">
        <v>94</v>
      </c>
      <c r="R482" s="16" t="s">
        <v>91</v>
      </c>
      <c r="S482" s="16" t="s">
        <v>93</v>
      </c>
      <c r="T482" s="16" t="s">
        <v>90</v>
      </c>
      <c r="U482" s="16" t="s">
        <v>95</v>
      </c>
      <c r="V482" s="16" t="s">
        <v>453</v>
      </c>
      <c r="W482" s="16" t="s">
        <v>452</v>
      </c>
    </row>
    <row r="483" spans="1:23" x14ac:dyDescent="0.2">
      <c r="A483" s="9" t="s">
        <v>468</v>
      </c>
      <c r="B483" s="9">
        <f ca="1">+IF(A483=WORLDCUP!$BI$112,1,0)</f>
        <v>0</v>
      </c>
      <c r="C483" s="9" t="str">
        <f ca="1">+WORLDCUP!BD60</f>
        <v>Haiti</v>
      </c>
      <c r="D483" s="9" t="str">
        <f ca="1">+WORLDCUP!BD67</f>
        <v>Austria</v>
      </c>
      <c r="E483" s="9" t="str">
        <f ca="1">+WORLDCUP!BD59</f>
        <v>Qatar</v>
      </c>
      <c r="F483" s="9" t="str">
        <f ca="1">+WORLDCUP!BD61</f>
        <v>Australia</v>
      </c>
      <c r="G483" s="9" t="str">
        <f ca="1">+WORLDCUP!BD58</f>
        <v>South Korea</v>
      </c>
      <c r="H483" s="9" t="str">
        <f ca="1">+WORLDCUP!BD63</f>
        <v>Sweden</v>
      </c>
      <c r="I483" s="9" t="str">
        <f ca="1">+WORLDCUP!BD69</f>
        <v>Ghana</v>
      </c>
      <c r="J483" s="9" t="str">
        <f ca="1">+WORLDCUP!BD62</f>
        <v>Ivory Coast</v>
      </c>
      <c r="N483" s="16" t="s">
        <v>468</v>
      </c>
      <c r="O483" s="16">
        <v>482</v>
      </c>
      <c r="P483" s="16" t="s">
        <v>92</v>
      </c>
      <c r="Q483" s="16" t="s">
        <v>451</v>
      </c>
      <c r="R483" s="16" t="s">
        <v>91</v>
      </c>
      <c r="S483" s="16" t="s">
        <v>93</v>
      </c>
      <c r="T483" s="16" t="s">
        <v>90</v>
      </c>
      <c r="U483" s="16" t="s">
        <v>95</v>
      </c>
      <c r="V483" s="16" t="s">
        <v>453</v>
      </c>
      <c r="W483" s="16" t="s">
        <v>94</v>
      </c>
    </row>
    <row r="484" spans="1:23" x14ac:dyDescent="0.2">
      <c r="A484" s="9" t="s">
        <v>467</v>
      </c>
      <c r="B484" s="9">
        <f ca="1">+IF(A484=WORLDCUP!$BI$112,1,0)</f>
        <v>0</v>
      </c>
      <c r="C484" s="9" t="str">
        <f ca="1">+WORLDCUP!BD60</f>
        <v>Haiti</v>
      </c>
      <c r="D484" s="9" t="str">
        <f ca="1">+WORLDCUP!BD67</f>
        <v>Austria</v>
      </c>
      <c r="E484" s="9" t="str">
        <f ca="1">+WORLDCUP!BD59</f>
        <v>Qatar</v>
      </c>
      <c r="F484" s="9" t="str">
        <f ca="1">+WORLDCUP!BD61</f>
        <v>Australia</v>
      </c>
      <c r="G484" s="9" t="str">
        <f ca="1">+WORLDCUP!BD58</f>
        <v>South Korea</v>
      </c>
      <c r="H484" s="9" t="str">
        <f ca="1">+WORLDCUP!BD63</f>
        <v>Sweden</v>
      </c>
      <c r="I484" s="9" t="str">
        <f ca="1">+WORLDCUP!BD62</f>
        <v>Ivory Coast</v>
      </c>
      <c r="J484" s="9" t="str">
        <f ca="1">+WORLDCUP!BD68</f>
        <v>Uzbekistan</v>
      </c>
      <c r="N484" s="16" t="s">
        <v>467</v>
      </c>
      <c r="O484" s="16">
        <v>483</v>
      </c>
      <c r="P484" s="16" t="s">
        <v>92</v>
      </c>
      <c r="Q484" s="16" t="s">
        <v>451</v>
      </c>
      <c r="R484" s="16" t="s">
        <v>91</v>
      </c>
      <c r="S484" s="16" t="s">
        <v>93</v>
      </c>
      <c r="T484" s="16" t="s">
        <v>90</v>
      </c>
      <c r="U484" s="16" t="s">
        <v>95</v>
      </c>
      <c r="V484" s="16" t="s">
        <v>94</v>
      </c>
      <c r="W484" s="16" t="s">
        <v>452</v>
      </c>
    </row>
    <row r="485" spans="1:23" x14ac:dyDescent="0.2">
      <c r="A485" s="9" t="s">
        <v>466</v>
      </c>
      <c r="B485" s="9">
        <f ca="1">+IF(A485=WORLDCUP!$BI$112,1,0)</f>
        <v>0</v>
      </c>
      <c r="C485" s="9" t="str">
        <f ca="1">+WORLDCUP!BD60</f>
        <v>Haiti</v>
      </c>
      <c r="D485" s="9" t="str">
        <f ca="1">+WORLDCUP!BD62</f>
        <v>Ivory Coast</v>
      </c>
      <c r="E485" s="9" t="str">
        <f ca="1">+WORLDCUP!BD59</f>
        <v>Qatar</v>
      </c>
      <c r="F485" s="9" t="str">
        <f ca="1">+WORLDCUP!BD61</f>
        <v>Australia</v>
      </c>
      <c r="G485" s="9" t="str">
        <f ca="1">+WORLDCUP!BD58</f>
        <v>South Korea</v>
      </c>
      <c r="H485" s="9" t="str">
        <f ca="1">+WORLDCUP!BD63</f>
        <v>Sweden</v>
      </c>
      <c r="I485" s="9" t="str">
        <f ca="1">+WORLDCUP!BD69</f>
        <v>Ghana</v>
      </c>
      <c r="J485" s="9" t="str">
        <f ca="1">+WORLDCUP!BD66</f>
        <v>Iraq</v>
      </c>
      <c r="N485" s="16" t="s">
        <v>466</v>
      </c>
      <c r="O485" s="16">
        <v>484</v>
      </c>
      <c r="P485" s="16" t="s">
        <v>92</v>
      </c>
      <c r="Q485" s="16" t="s">
        <v>94</v>
      </c>
      <c r="R485" s="16" t="s">
        <v>91</v>
      </c>
      <c r="S485" s="16" t="s">
        <v>93</v>
      </c>
      <c r="T485" s="16" t="s">
        <v>90</v>
      </c>
      <c r="U485" s="16" t="s">
        <v>95</v>
      </c>
      <c r="V485" s="16" t="s">
        <v>453</v>
      </c>
      <c r="W485" s="16" t="s">
        <v>450</v>
      </c>
    </row>
    <row r="486" spans="1:23" x14ac:dyDescent="0.2">
      <c r="A486" s="9" t="s">
        <v>465</v>
      </c>
      <c r="B486" s="9">
        <f ca="1">+IF(A486=WORLDCUP!$BI$112,1,0)</f>
        <v>0</v>
      </c>
      <c r="C486" s="9" t="str">
        <f ca="1">+WORLDCUP!BD60</f>
        <v>Haiti</v>
      </c>
      <c r="D486" s="9" t="str">
        <f ca="1">+WORLDCUP!BD62</f>
        <v>Ivory Coast</v>
      </c>
      <c r="E486" s="9" t="str">
        <f ca="1">+WORLDCUP!BD59</f>
        <v>Qatar</v>
      </c>
      <c r="F486" s="9" t="str">
        <f ca="1">+WORLDCUP!BD61</f>
        <v>Australia</v>
      </c>
      <c r="G486" s="9" t="str">
        <f ca="1">+WORLDCUP!BD58</f>
        <v>South Korea</v>
      </c>
      <c r="H486" s="9" t="str">
        <f ca="1">+WORLDCUP!BD63</f>
        <v>Sweden</v>
      </c>
      <c r="I486" s="9" t="str">
        <f ca="1">+WORLDCUP!BD66</f>
        <v>Iraq</v>
      </c>
      <c r="J486" s="9" t="str">
        <f ca="1">+WORLDCUP!BD68</f>
        <v>Uzbekistan</v>
      </c>
      <c r="N486" s="16" t="s">
        <v>465</v>
      </c>
      <c r="O486" s="16">
        <v>485</v>
      </c>
      <c r="P486" s="16" t="s">
        <v>92</v>
      </c>
      <c r="Q486" s="16" t="s">
        <v>94</v>
      </c>
      <c r="R486" s="16" t="s">
        <v>91</v>
      </c>
      <c r="S486" s="16" t="s">
        <v>93</v>
      </c>
      <c r="T486" s="16" t="s">
        <v>90</v>
      </c>
      <c r="U486" s="16" t="s">
        <v>95</v>
      </c>
      <c r="V486" s="16" t="s">
        <v>450</v>
      </c>
      <c r="W486" s="16" t="s">
        <v>452</v>
      </c>
    </row>
    <row r="487" spans="1:23" x14ac:dyDescent="0.2">
      <c r="A487" s="9" t="s">
        <v>464</v>
      </c>
      <c r="B487" s="9">
        <f ca="1">+IF(A487=WORLDCUP!$BI$112,1,0)</f>
        <v>0</v>
      </c>
      <c r="C487" s="9" t="str">
        <f ca="1">+WORLDCUP!BD60</f>
        <v>Haiti</v>
      </c>
      <c r="D487" s="9" t="str">
        <f ca="1">+WORLDCUP!BD67</f>
        <v>Austria</v>
      </c>
      <c r="E487" s="9" t="str">
        <f ca="1">+WORLDCUP!BD59</f>
        <v>Qatar</v>
      </c>
      <c r="F487" s="9" t="str">
        <f ca="1">+WORLDCUP!BD61</f>
        <v>Australia</v>
      </c>
      <c r="G487" s="9" t="str">
        <f ca="1">+WORLDCUP!BD58</f>
        <v>South Korea</v>
      </c>
      <c r="H487" s="9" t="str">
        <f ca="1">+WORLDCUP!BD63</f>
        <v>Sweden</v>
      </c>
      <c r="I487" s="9" t="str">
        <f ca="1">+WORLDCUP!BD62</f>
        <v>Ivory Coast</v>
      </c>
      <c r="J487" s="9" t="str">
        <f ca="1">+WORLDCUP!BD66</f>
        <v>Iraq</v>
      </c>
      <c r="N487" s="16" t="s">
        <v>464</v>
      </c>
      <c r="O487" s="16">
        <v>486</v>
      </c>
      <c r="P487" s="16" t="s">
        <v>92</v>
      </c>
      <c r="Q487" s="16" t="s">
        <v>451</v>
      </c>
      <c r="R487" s="16" t="s">
        <v>91</v>
      </c>
      <c r="S487" s="16" t="s">
        <v>93</v>
      </c>
      <c r="T487" s="16" t="s">
        <v>90</v>
      </c>
      <c r="U487" s="16" t="s">
        <v>95</v>
      </c>
      <c r="V487" s="16" t="s">
        <v>94</v>
      </c>
      <c r="W487" s="16" t="s">
        <v>450</v>
      </c>
    </row>
    <row r="488" spans="1:23" x14ac:dyDescent="0.2">
      <c r="A488" s="9" t="s">
        <v>463</v>
      </c>
      <c r="B488" s="9">
        <f ca="1">+IF(A488=WORLDCUP!$BI$112,1,0)</f>
        <v>0</v>
      </c>
      <c r="C488" s="9" t="str">
        <f ca="1">+WORLDCUP!BD65</f>
        <v>Saudi Arabia</v>
      </c>
      <c r="D488" s="9" t="str">
        <f ca="1">+WORLDCUP!BD63</f>
        <v>Sweden</v>
      </c>
      <c r="E488" s="9" t="str">
        <f ca="1">+WORLDCUP!BD59</f>
        <v>Qatar</v>
      </c>
      <c r="F488" s="9" t="str">
        <f ca="1">+WORLDCUP!BD60</f>
        <v>Haiti</v>
      </c>
      <c r="G488" s="9" t="str">
        <f ca="1">+WORLDCUP!BD58</f>
        <v>South Korea</v>
      </c>
      <c r="H488" s="9" t="str">
        <f ca="1">+WORLDCUP!BD61</f>
        <v>Australia</v>
      </c>
      <c r="I488" s="9" t="str">
        <f ca="1">+WORLDCUP!BD69</f>
        <v>Ghana</v>
      </c>
      <c r="J488" s="9" t="str">
        <f ca="1">+WORLDCUP!BD62</f>
        <v>Ivory Coast</v>
      </c>
      <c r="N488" s="16" t="s">
        <v>463</v>
      </c>
      <c r="O488" s="16">
        <v>487</v>
      </c>
      <c r="P488" s="16" t="s">
        <v>446</v>
      </c>
      <c r="Q488" s="16" t="s">
        <v>95</v>
      </c>
      <c r="R488" s="16" t="s">
        <v>91</v>
      </c>
      <c r="S488" s="16" t="s">
        <v>92</v>
      </c>
      <c r="T488" s="16" t="s">
        <v>90</v>
      </c>
      <c r="U488" s="16" t="s">
        <v>93</v>
      </c>
      <c r="V488" s="16" t="s">
        <v>453</v>
      </c>
      <c r="W488" s="16" t="s">
        <v>94</v>
      </c>
    </row>
    <row r="489" spans="1:23" x14ac:dyDescent="0.2">
      <c r="A489" s="9" t="s">
        <v>462</v>
      </c>
      <c r="B489" s="9">
        <f ca="1">+IF(A489=WORLDCUP!$BI$112,1,0)</f>
        <v>0</v>
      </c>
      <c r="C489" s="9" t="str">
        <f ca="1">+WORLDCUP!BD65</f>
        <v>Saudi Arabia</v>
      </c>
      <c r="D489" s="9" t="str">
        <f ca="1">+WORLDCUP!BD62</f>
        <v>Ivory Coast</v>
      </c>
      <c r="E489" s="9" t="str">
        <f ca="1">+WORLDCUP!BD59</f>
        <v>Qatar</v>
      </c>
      <c r="F489" s="9" t="str">
        <f ca="1">+WORLDCUP!BD60</f>
        <v>Haiti</v>
      </c>
      <c r="G489" s="9" t="str">
        <f ca="1">+WORLDCUP!BD58</f>
        <v>South Korea</v>
      </c>
      <c r="H489" s="9" t="str">
        <f ca="1">+WORLDCUP!BD63</f>
        <v>Sweden</v>
      </c>
      <c r="I489" s="9" t="str">
        <f ca="1">+WORLDCUP!BD61</f>
        <v>Australia</v>
      </c>
      <c r="J489" s="9" t="str">
        <f ca="1">+WORLDCUP!BD68</f>
        <v>Uzbekistan</v>
      </c>
      <c r="N489" s="16" t="s">
        <v>462</v>
      </c>
      <c r="O489" s="16">
        <v>488</v>
      </c>
      <c r="P489" s="16" t="s">
        <v>446</v>
      </c>
      <c r="Q489" s="16" t="s">
        <v>94</v>
      </c>
      <c r="R489" s="16" t="s">
        <v>91</v>
      </c>
      <c r="S489" s="16" t="s">
        <v>92</v>
      </c>
      <c r="T489" s="16" t="s">
        <v>90</v>
      </c>
      <c r="U489" s="16" t="s">
        <v>95</v>
      </c>
      <c r="V489" s="16" t="s">
        <v>93</v>
      </c>
      <c r="W489" s="16" t="s">
        <v>452</v>
      </c>
    </row>
    <row r="490" spans="1:23" x14ac:dyDescent="0.2">
      <c r="A490" s="9" t="s">
        <v>461</v>
      </c>
      <c r="B490" s="9">
        <f ca="1">+IF(A490=WORLDCUP!$BI$112,1,0)</f>
        <v>0</v>
      </c>
      <c r="C490" s="9" t="str">
        <f ca="1">+WORLDCUP!BD65</f>
        <v>Saudi Arabia</v>
      </c>
      <c r="D490" s="9" t="str">
        <f ca="1">+WORLDCUP!BD67</f>
        <v>Austria</v>
      </c>
      <c r="E490" s="9" t="str">
        <f ca="1">+WORLDCUP!BD59</f>
        <v>Qatar</v>
      </c>
      <c r="F490" s="9" t="str">
        <f ca="1">+WORLDCUP!BD60</f>
        <v>Haiti</v>
      </c>
      <c r="G490" s="9" t="str">
        <f ca="1">+WORLDCUP!BD58</f>
        <v>South Korea</v>
      </c>
      <c r="H490" s="9" t="str">
        <f ca="1">+WORLDCUP!BD63</f>
        <v>Sweden</v>
      </c>
      <c r="I490" s="9" t="str">
        <f ca="1">+WORLDCUP!BD61</f>
        <v>Australia</v>
      </c>
      <c r="J490" s="9" t="str">
        <f ca="1">+WORLDCUP!BD62</f>
        <v>Ivory Coast</v>
      </c>
      <c r="N490" s="16" t="s">
        <v>461</v>
      </c>
      <c r="O490" s="16">
        <v>489</v>
      </c>
      <c r="P490" s="16" t="s">
        <v>446</v>
      </c>
      <c r="Q490" s="16" t="s">
        <v>451</v>
      </c>
      <c r="R490" s="16" t="s">
        <v>91</v>
      </c>
      <c r="S490" s="16" t="s">
        <v>92</v>
      </c>
      <c r="T490" s="16" t="s">
        <v>90</v>
      </c>
      <c r="U490" s="16" t="s">
        <v>95</v>
      </c>
      <c r="V490" s="16" t="s">
        <v>93</v>
      </c>
      <c r="W490" s="16" t="s">
        <v>94</v>
      </c>
    </row>
    <row r="491" spans="1:23" x14ac:dyDescent="0.2">
      <c r="A491" s="9" t="s">
        <v>460</v>
      </c>
      <c r="B491" s="9">
        <f ca="1">+IF(A491=WORLDCUP!$BI$112,1,0)</f>
        <v>0</v>
      </c>
      <c r="C491" s="9" t="str">
        <f ca="1">+WORLDCUP!BD65</f>
        <v>Saudi Arabia</v>
      </c>
      <c r="D491" s="9" t="str">
        <f ca="1">+WORLDCUP!BD62</f>
        <v>Ivory Coast</v>
      </c>
      <c r="E491" s="9" t="str">
        <f ca="1">+WORLDCUP!BD59</f>
        <v>Qatar</v>
      </c>
      <c r="F491" s="9" t="str">
        <f ca="1">+WORLDCUP!BD60</f>
        <v>Haiti</v>
      </c>
      <c r="G491" s="9" t="str">
        <f ca="1">+WORLDCUP!BD58</f>
        <v>South Korea</v>
      </c>
      <c r="H491" s="9" t="str">
        <f ca="1">+WORLDCUP!BD63</f>
        <v>Sweden</v>
      </c>
      <c r="I491" s="9" t="str">
        <f ca="1">+WORLDCUP!BD61</f>
        <v>Australia</v>
      </c>
      <c r="J491" s="9" t="str">
        <f ca="1">+WORLDCUP!BD66</f>
        <v>Iraq</v>
      </c>
      <c r="N491" s="16" t="s">
        <v>460</v>
      </c>
      <c r="O491" s="16">
        <v>490</v>
      </c>
      <c r="P491" s="16" t="s">
        <v>446</v>
      </c>
      <c r="Q491" s="16" t="s">
        <v>94</v>
      </c>
      <c r="R491" s="16" t="s">
        <v>91</v>
      </c>
      <c r="S491" s="16" t="s">
        <v>92</v>
      </c>
      <c r="T491" s="16" t="s">
        <v>90</v>
      </c>
      <c r="U491" s="16" t="s">
        <v>95</v>
      </c>
      <c r="V491" s="16" t="s">
        <v>93</v>
      </c>
      <c r="W491" s="16" t="s">
        <v>450</v>
      </c>
    </row>
    <row r="492" spans="1:23" x14ac:dyDescent="0.2">
      <c r="A492" s="9" t="s">
        <v>459</v>
      </c>
      <c r="B492" s="9">
        <f ca="1">+IF(A492=WORLDCUP!$BI$112,1,0)</f>
        <v>0</v>
      </c>
      <c r="C492" s="9" t="str">
        <f ca="1">+WORLDCUP!BD60</f>
        <v>Haiti</v>
      </c>
      <c r="D492" s="9" t="str">
        <f ca="1">+WORLDCUP!BD64</f>
        <v>Iran</v>
      </c>
      <c r="E492" s="9" t="str">
        <f ca="1">+WORLDCUP!BD59</f>
        <v>Qatar</v>
      </c>
      <c r="F492" s="9" t="str">
        <f ca="1">+WORLDCUP!BD61</f>
        <v>Australia</v>
      </c>
      <c r="G492" s="9" t="str">
        <f ca="1">+WORLDCUP!BD58</f>
        <v>South Korea</v>
      </c>
      <c r="H492" s="9" t="str">
        <f ca="1">+WORLDCUP!BD63</f>
        <v>Sweden</v>
      </c>
      <c r="I492" s="9" t="str">
        <f ca="1">+WORLDCUP!BD69</f>
        <v>Ghana</v>
      </c>
      <c r="J492" s="9" t="str">
        <f ca="1">+WORLDCUP!BD62</f>
        <v>Ivory Coast</v>
      </c>
      <c r="N492" s="16" t="s">
        <v>459</v>
      </c>
      <c r="O492" s="16">
        <v>491</v>
      </c>
      <c r="P492" s="16" t="s">
        <v>92</v>
      </c>
      <c r="Q492" s="16" t="s">
        <v>445</v>
      </c>
      <c r="R492" s="16" t="s">
        <v>91</v>
      </c>
      <c r="S492" s="16" t="s">
        <v>93</v>
      </c>
      <c r="T492" s="16" t="s">
        <v>90</v>
      </c>
      <c r="U492" s="16" t="s">
        <v>95</v>
      </c>
      <c r="V492" s="16" t="s">
        <v>453</v>
      </c>
      <c r="W492" s="16" t="s">
        <v>94</v>
      </c>
    </row>
    <row r="493" spans="1:23" x14ac:dyDescent="0.2">
      <c r="A493" s="9" t="s">
        <v>458</v>
      </c>
      <c r="B493" s="9">
        <f ca="1">+IF(A493=WORLDCUP!$BI$112,1,0)</f>
        <v>0</v>
      </c>
      <c r="C493" s="9" t="str">
        <f ca="1">+WORLDCUP!BD60</f>
        <v>Haiti</v>
      </c>
      <c r="D493" s="9" t="str">
        <f ca="1">+WORLDCUP!BD64</f>
        <v>Iran</v>
      </c>
      <c r="E493" s="9" t="str">
        <f ca="1">+WORLDCUP!BD59</f>
        <v>Qatar</v>
      </c>
      <c r="F493" s="9" t="str">
        <f ca="1">+WORLDCUP!BD61</f>
        <v>Australia</v>
      </c>
      <c r="G493" s="9" t="str">
        <f ca="1">+WORLDCUP!BD58</f>
        <v>South Korea</v>
      </c>
      <c r="H493" s="9" t="str">
        <f ca="1">+WORLDCUP!BD63</f>
        <v>Sweden</v>
      </c>
      <c r="I493" s="9" t="str">
        <f ca="1">+WORLDCUP!BD62</f>
        <v>Ivory Coast</v>
      </c>
      <c r="J493" s="9" t="str">
        <f ca="1">+WORLDCUP!BD68</f>
        <v>Uzbekistan</v>
      </c>
      <c r="N493" s="16" t="s">
        <v>458</v>
      </c>
      <c r="O493" s="16">
        <v>492</v>
      </c>
      <c r="P493" s="16" t="s">
        <v>92</v>
      </c>
      <c r="Q493" s="16" t="s">
        <v>445</v>
      </c>
      <c r="R493" s="16" t="s">
        <v>91</v>
      </c>
      <c r="S493" s="16" t="s">
        <v>93</v>
      </c>
      <c r="T493" s="16" t="s">
        <v>90</v>
      </c>
      <c r="U493" s="16" t="s">
        <v>95</v>
      </c>
      <c r="V493" s="16" t="s">
        <v>94</v>
      </c>
      <c r="W493" s="16" t="s">
        <v>452</v>
      </c>
    </row>
    <row r="494" spans="1:23" x14ac:dyDescent="0.2">
      <c r="A494" s="9" t="s">
        <v>457</v>
      </c>
      <c r="B494" s="9">
        <f ca="1">+IF(A494=WORLDCUP!$BI$112,1,0)</f>
        <v>0</v>
      </c>
      <c r="C494" s="9" t="str">
        <f ca="1">+WORLDCUP!BD60</f>
        <v>Haiti</v>
      </c>
      <c r="D494" s="9" t="str">
        <f ca="1">+WORLDCUP!BD64</f>
        <v>Iran</v>
      </c>
      <c r="E494" s="9" t="str">
        <f ca="1">+WORLDCUP!BD59</f>
        <v>Qatar</v>
      </c>
      <c r="F494" s="9" t="str">
        <f ca="1">+WORLDCUP!BD61</f>
        <v>Australia</v>
      </c>
      <c r="G494" s="9" t="str">
        <f ca="1">+WORLDCUP!BD58</f>
        <v>South Korea</v>
      </c>
      <c r="H494" s="9" t="str">
        <f ca="1">+WORLDCUP!BD63</f>
        <v>Sweden</v>
      </c>
      <c r="I494" s="9" t="str">
        <f ca="1">+WORLDCUP!BD62</f>
        <v>Ivory Coast</v>
      </c>
      <c r="J494" s="9" t="str">
        <f ca="1">+WORLDCUP!BD67</f>
        <v>Austria</v>
      </c>
      <c r="N494" s="16" t="s">
        <v>457</v>
      </c>
      <c r="O494" s="16">
        <v>493</v>
      </c>
      <c r="P494" s="16" t="s">
        <v>92</v>
      </c>
      <c r="Q494" s="16" t="s">
        <v>445</v>
      </c>
      <c r="R494" s="16" t="s">
        <v>91</v>
      </c>
      <c r="S494" s="16" t="s">
        <v>93</v>
      </c>
      <c r="T494" s="16" t="s">
        <v>90</v>
      </c>
      <c r="U494" s="16" t="s">
        <v>95</v>
      </c>
      <c r="V494" s="16" t="s">
        <v>94</v>
      </c>
      <c r="W494" s="16" t="s">
        <v>451</v>
      </c>
    </row>
    <row r="495" spans="1:23" x14ac:dyDescent="0.2">
      <c r="A495" s="9" t="s">
        <v>456</v>
      </c>
      <c r="B495" s="9">
        <f ca="1">+IF(A495=WORLDCUP!$BI$112,1,0)</f>
        <v>0</v>
      </c>
      <c r="C495" s="9" t="str">
        <f ca="1">+WORLDCUP!BD60</f>
        <v>Haiti</v>
      </c>
      <c r="D495" s="9" t="str">
        <f ca="1">+WORLDCUP!BD64</f>
        <v>Iran</v>
      </c>
      <c r="E495" s="9" t="str">
        <f ca="1">+WORLDCUP!BD59</f>
        <v>Qatar</v>
      </c>
      <c r="F495" s="9" t="str">
        <f ca="1">+WORLDCUP!BD61</f>
        <v>Australia</v>
      </c>
      <c r="G495" s="9" t="str">
        <f ca="1">+WORLDCUP!BD58</f>
        <v>South Korea</v>
      </c>
      <c r="H495" s="9" t="str">
        <f ca="1">+WORLDCUP!BD63</f>
        <v>Sweden</v>
      </c>
      <c r="I495" s="9" t="str">
        <f ca="1">+WORLDCUP!BD62</f>
        <v>Ivory Coast</v>
      </c>
      <c r="J495" s="9" t="str">
        <f ca="1">+WORLDCUP!BD66</f>
        <v>Iraq</v>
      </c>
      <c r="N495" s="16" t="s">
        <v>456</v>
      </c>
      <c r="O495" s="16">
        <v>494</v>
      </c>
      <c r="P495" s="16" t="s">
        <v>92</v>
      </c>
      <c r="Q495" s="16" t="s">
        <v>445</v>
      </c>
      <c r="R495" s="16" t="s">
        <v>91</v>
      </c>
      <c r="S495" s="16" t="s">
        <v>93</v>
      </c>
      <c r="T495" s="16" t="s">
        <v>90</v>
      </c>
      <c r="U495" s="16" t="s">
        <v>95</v>
      </c>
      <c r="V495" s="16" t="s">
        <v>94</v>
      </c>
      <c r="W495" s="16" t="s">
        <v>450</v>
      </c>
    </row>
    <row r="496" spans="1:23" x14ac:dyDescent="0.2">
      <c r="A496" s="9" t="s">
        <v>455</v>
      </c>
      <c r="B496" s="9">
        <f ca="1">+IF(A496=WORLDCUP!$BI$112,1,0)</f>
        <v>0</v>
      </c>
      <c r="C496" s="9" t="str">
        <f ca="1">+WORLDCUP!BD65</f>
        <v>Saudi Arabia</v>
      </c>
      <c r="D496" s="9" t="str">
        <f ca="1">+WORLDCUP!BD64</f>
        <v>Iran</v>
      </c>
      <c r="E496" s="9" t="str">
        <f ca="1">+WORLDCUP!BD59</f>
        <v>Qatar</v>
      </c>
      <c r="F496" s="9" t="str">
        <f ca="1">+WORLDCUP!BD60</f>
        <v>Haiti</v>
      </c>
      <c r="G496" s="9" t="str">
        <f ca="1">+WORLDCUP!BD58</f>
        <v>South Korea</v>
      </c>
      <c r="H496" s="9" t="str">
        <f ca="1">+WORLDCUP!BD63</f>
        <v>Sweden</v>
      </c>
      <c r="I496" s="9" t="str">
        <f ca="1">+WORLDCUP!BD61</f>
        <v>Australia</v>
      </c>
      <c r="J496" s="9" t="str">
        <f ca="1">+WORLDCUP!BD62</f>
        <v>Ivory Coast</v>
      </c>
      <c r="N496" s="16" t="s">
        <v>455</v>
      </c>
      <c r="O496" s="16">
        <v>495</v>
      </c>
      <c r="P496" s="16" t="s">
        <v>446</v>
      </c>
      <c r="Q496" s="16" t="s">
        <v>445</v>
      </c>
      <c r="R496" s="16" t="s">
        <v>91</v>
      </c>
      <c r="S496" s="16" t="s">
        <v>92</v>
      </c>
      <c r="T496" s="16" t="s">
        <v>90</v>
      </c>
      <c r="U496" s="16" t="s">
        <v>95</v>
      </c>
      <c r="V496" s="16" t="s">
        <v>93</v>
      </c>
      <c r="W496" s="16" t="s">
        <v>94</v>
      </c>
    </row>
    <row r="497" spans="1:10" x14ac:dyDescent="0.2">
      <c r="A497" s="409" t="s">
        <v>732</v>
      </c>
      <c r="B497" s="409" t="str">
        <f ca="1">+IF(AND(WORLDCUP!$H$113=144,SUM(Combinaciones!$B$2:$B$496)=1),"OK",IF(AND(WORLDCUP!$H$113=144,SUM(Combinaciones!$B$2:$B$496)=0),"Error1",IF(AND(WORLDCUP!$H$113&lt;&gt;144,SUM(Combinaciones!$B$2:$B$496)=1),"Error2",IF(AND(WORLDCUP!$H$113&lt;&gt;144,SUM(Combinaciones!$B$2:$B$496)=0),"Faltan partidos","OTRA COSA"))))</f>
        <v>Faltan partidos</v>
      </c>
      <c r="C497" s="9"/>
      <c r="D497" s="9"/>
      <c r="E497" s="9"/>
      <c r="F497" s="9"/>
      <c r="G497" s="9"/>
      <c r="H497" s="9"/>
      <c r="I497" s="9"/>
      <c r="J497" s="9"/>
    </row>
  </sheetData>
  <sheetProtection algorithmName="SHA-512" hashValue="z3qM3unh1qMq3Wxvc1y61/o2TlH4QYDAgoS37vRZhvpeVPFOhREH3ID0YXzvBJLz01cSdHMZZavqSIrTwdEiXA==" saltValue="3nfpCbIB60w0SYj7Hxu5GA==" spinCount="100000" sheet="1" objects="1" scenarios="1" selectLockedCells="1" selectUnlockedCells="1"/>
  <conditionalFormatting sqref="A2:J2 A3:B496 C3:J497">
    <cfRule type="expression" dxfId="4" priority="1" stopIfTrue="1">
      <formula>IF($B2=1,1,0)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07135-C1B3-F843-8B9E-35C73CCAE900}">
  <sheetPr codeName="Hoja6"/>
  <dimension ref="A1:FB6166"/>
  <sheetViews>
    <sheetView showGridLines="0" showRowColHeaders="0" zoomScaleNormal="100" workbookViewId="0">
      <extLst>
        <ext xmlns:xlsdti="http://schemas.microsoft.com/office/spreadsheetml/2023/showDataTypeIcons" uri="{77bfe23e-c014-4d31-8a63-9c772dbf06b6}">
          <xlsdti:showDataTypeIcons visible="0"/>
        </ext>
      </extLst>
    </sheetView>
  </sheetViews>
  <sheetFormatPr baseColWidth="10" defaultColWidth="10.83203125" defaultRowHeight="15" x14ac:dyDescent="0.2"/>
  <cols>
    <col min="1" max="1" width="3" style="5" customWidth="1"/>
    <col min="2" max="2" width="15.83203125" style="5" customWidth="1"/>
    <col min="3" max="3" width="35.83203125" style="5" customWidth="1"/>
    <col min="4" max="4" width="0.5" style="5" customWidth="1"/>
    <col min="5" max="5" width="10.83203125" style="5"/>
    <col min="6" max="6" width="0.5" style="5" customWidth="1"/>
    <col min="7" max="9" width="10.83203125" style="5"/>
    <col min="10" max="10" width="10.83203125" style="5" customWidth="1"/>
    <col min="11" max="11" width="4" style="5" customWidth="1"/>
    <col min="12" max="12" width="19.1640625" style="5" customWidth="1"/>
    <col min="13" max="13" width="10.83203125" style="5"/>
    <col min="14" max="17" width="15.83203125" style="5" customWidth="1"/>
    <col min="18" max="18" width="22.83203125" style="5" customWidth="1"/>
    <col min="20" max="20" width="10.83203125" style="16"/>
    <col min="21" max="22" width="10.83203125" style="582"/>
    <col min="23" max="24" width="10.83203125" style="582" hidden="1" customWidth="1"/>
    <col min="25" max="25" width="10.83203125" style="582"/>
    <col min="26" max="28" width="10.83203125" style="407"/>
    <col min="29" max="149" width="10.83203125" style="5"/>
    <col min="150" max="158" width="10.83203125" style="407"/>
    <col min="159" max="16384" width="10.83203125" style="5"/>
  </cols>
  <sheetData>
    <row r="1" spans="1:18" x14ac:dyDescent="0.2">
      <c r="A1" s="226"/>
      <c r="B1" s="226"/>
      <c r="C1" s="226"/>
      <c r="D1" s="226"/>
      <c r="E1" s="228"/>
      <c r="F1" s="228"/>
      <c r="G1" s="228"/>
      <c r="H1" s="228"/>
      <c r="I1" s="228"/>
      <c r="J1" s="228"/>
      <c r="K1" s="227"/>
      <c r="L1" s="227"/>
      <c r="M1" s="227"/>
      <c r="N1" s="227"/>
      <c r="O1" s="227"/>
      <c r="P1" s="227"/>
      <c r="Q1" s="227"/>
    </row>
    <row r="2" spans="1:18" x14ac:dyDescent="0.2">
      <c r="A2" s="226"/>
      <c r="B2" s="265" t="str">
        <f>Idiomas!D82</f>
        <v>Disclaimer:</v>
      </c>
      <c r="C2" s="229"/>
      <c r="D2" s="229"/>
      <c r="E2" s="230"/>
      <c r="F2" s="230"/>
      <c r="G2" s="230"/>
      <c r="H2" s="230"/>
      <c r="I2" s="230"/>
      <c r="J2" s="230"/>
      <c r="K2" s="227"/>
      <c r="L2" s="265" t="s">
        <v>188</v>
      </c>
      <c r="M2" s="227"/>
      <c r="N2" s="227"/>
      <c r="O2" s="227"/>
      <c r="P2" s="227"/>
      <c r="Q2" s="227"/>
    </row>
    <row r="3" spans="1:18" x14ac:dyDescent="0.2">
      <c r="A3" s="226"/>
      <c r="B3" s="712" t="str">
        <f>Idiomas!D79</f>
        <v>This file is available without guarantee. The author is not responsible for the damage, inaccuracy of the data or losses of any kind caused by the use or misuse of the file. The use of this file will be the responsibility of the user. File passwords will not be provided (and we don't answer to requests for them). The file doesn't contain macros. It's recommended to scan the downloaded file with a reputable antivirus. The file should not be edited except in the places established for it (enter the results, the names). The formulas, protection and structure must not be modified. The file cannot be resold to third parties and is for the exclusive use of the user.</v>
      </c>
      <c r="C3" s="713"/>
      <c r="D3" s="713"/>
      <c r="E3" s="713"/>
      <c r="F3" s="713"/>
      <c r="G3" s="713"/>
      <c r="H3" s="713"/>
      <c r="I3" s="713"/>
      <c r="J3" s="714"/>
      <c r="K3" s="227"/>
      <c r="L3" s="338"/>
      <c r="M3" s="339"/>
      <c r="N3" s="339"/>
      <c r="O3" s="339"/>
      <c r="P3" s="339"/>
      <c r="Q3" s="339"/>
      <c r="R3" s="340"/>
    </row>
    <row r="4" spans="1:18" x14ac:dyDescent="0.2">
      <c r="A4" s="226"/>
      <c r="B4" s="715"/>
      <c r="C4" s="716"/>
      <c r="D4" s="716"/>
      <c r="E4" s="716"/>
      <c r="F4" s="716"/>
      <c r="G4" s="716"/>
      <c r="H4" s="716"/>
      <c r="I4" s="716"/>
      <c r="J4" s="717"/>
      <c r="K4" s="227"/>
      <c r="L4" s="337" t="str">
        <f>+Idiomas!D84</f>
        <v>· Select the language and time zone</v>
      </c>
      <c r="M4" s="238"/>
      <c r="N4" s="238"/>
      <c r="O4" s="238"/>
      <c r="P4" s="238"/>
      <c r="Q4" s="238"/>
      <c r="R4" s="341"/>
    </row>
    <row r="5" spans="1:18" x14ac:dyDescent="0.2">
      <c r="A5" s="226"/>
      <c r="B5" s="715"/>
      <c r="C5" s="716"/>
      <c r="D5" s="716"/>
      <c r="E5" s="716"/>
      <c r="F5" s="716"/>
      <c r="G5" s="716"/>
      <c r="H5" s="716"/>
      <c r="I5" s="716"/>
      <c r="J5" s="717"/>
      <c r="K5" s="227"/>
      <c r="L5" s="337" t="str">
        <f>+Idiomas!D85</f>
        <v>· If you are going to participate in a pool/sweepstake, write your name</v>
      </c>
      <c r="M5" s="238"/>
      <c r="N5" s="238"/>
      <c r="O5" s="238"/>
      <c r="P5" s="238"/>
      <c r="Q5" s="238"/>
      <c r="R5" s="341"/>
    </row>
    <row r="6" spans="1:18" x14ac:dyDescent="0.2">
      <c r="A6" s="226"/>
      <c r="B6" s="715"/>
      <c r="C6" s="716"/>
      <c r="D6" s="716"/>
      <c r="E6" s="716"/>
      <c r="F6" s="716"/>
      <c r="G6" s="716"/>
      <c r="H6" s="716"/>
      <c r="I6" s="716"/>
      <c r="J6" s="717"/>
      <c r="K6" s="227"/>
      <c r="L6" s="337" t="str">
        <f>+Idiomas!D86</f>
        <v>· If you are going to organize a pool, you can download the administration excel file from here</v>
      </c>
      <c r="M6" s="238"/>
      <c r="N6" s="238"/>
      <c r="O6" s="238"/>
      <c r="P6" s="238"/>
      <c r="Q6" s="238"/>
      <c r="R6" s="341"/>
    </row>
    <row r="7" spans="1:18" x14ac:dyDescent="0.2">
      <c r="A7" s="226"/>
      <c r="B7" s="715"/>
      <c r="C7" s="716"/>
      <c r="D7" s="716"/>
      <c r="E7" s="716"/>
      <c r="F7" s="716"/>
      <c r="G7" s="716"/>
      <c r="H7" s="716"/>
      <c r="I7" s="716"/>
      <c r="J7" s="717"/>
      <c r="K7" s="227"/>
      <c r="L7" s="342"/>
      <c r="M7" s="343"/>
      <c r="N7" s="343"/>
      <c r="O7" s="343"/>
      <c r="P7" s="343"/>
      <c r="Q7" s="343"/>
      <c r="R7" s="344"/>
    </row>
    <row r="8" spans="1:18" x14ac:dyDescent="0.2">
      <c r="A8" s="226"/>
      <c r="B8" s="715"/>
      <c r="C8" s="716"/>
      <c r="D8" s="716"/>
      <c r="E8" s="716"/>
      <c r="F8" s="716"/>
      <c r="G8" s="716"/>
      <c r="H8" s="716"/>
      <c r="I8" s="716"/>
      <c r="J8" s="717"/>
      <c r="K8" s="227"/>
      <c r="L8"/>
      <c r="M8"/>
      <c r="N8"/>
      <c r="O8"/>
      <c r="P8"/>
      <c r="Q8"/>
      <c r="R8"/>
    </row>
    <row r="9" spans="1:18" x14ac:dyDescent="0.2">
      <c r="A9" s="226"/>
      <c r="B9" s="715"/>
      <c r="C9" s="716"/>
      <c r="D9" s="716"/>
      <c r="E9" s="716"/>
      <c r="F9" s="716"/>
      <c r="G9" s="716"/>
      <c r="H9" s="716"/>
      <c r="I9" s="716"/>
      <c r="J9" s="717"/>
      <c r="K9" s="227"/>
      <c r="L9" s="265" t="s">
        <v>490</v>
      </c>
      <c r="M9"/>
      <c r="N9"/>
      <c r="O9"/>
      <c r="P9"/>
      <c r="Q9"/>
      <c r="R9"/>
    </row>
    <row r="10" spans="1:18" x14ac:dyDescent="0.2">
      <c r="A10" s="226"/>
      <c r="B10" s="715"/>
      <c r="C10" s="716"/>
      <c r="D10" s="716"/>
      <c r="E10" s="716"/>
      <c r="F10" s="716"/>
      <c r="G10" s="716"/>
      <c r="H10" s="716"/>
      <c r="I10" s="716"/>
      <c r="J10" s="717"/>
      <c r="K10" s="227"/>
      <c r="L10" s="338"/>
      <c r="M10" s="339"/>
      <c r="N10" s="339"/>
      <c r="O10" s="339"/>
      <c r="P10" s="339"/>
      <c r="Q10" s="339"/>
      <c r="R10" s="340"/>
    </row>
    <row r="11" spans="1:18" x14ac:dyDescent="0.2">
      <c r="A11" s="226"/>
      <c r="B11" s="715"/>
      <c r="C11" s="716"/>
      <c r="D11" s="716"/>
      <c r="E11" s="716"/>
      <c r="F11" s="716"/>
      <c r="G11" s="716"/>
      <c r="H11" s="716"/>
      <c r="I11" s="716"/>
      <c r="J11" s="717"/>
      <c r="K11" s="227"/>
      <c r="L11" s="337" t="str">
        <f>+Idiomas!D87</f>
        <v>· Fill in the grey boxes with the group stage results for each group</v>
      </c>
      <c r="M11" s="238"/>
      <c r="N11" s="238"/>
      <c r="O11" s="238"/>
      <c r="P11" s="238"/>
      <c r="Q11" s="238"/>
      <c r="R11" s="341"/>
    </row>
    <row r="12" spans="1:18" x14ac:dyDescent="0.2">
      <c r="A12" s="226"/>
      <c r="B12" s="718"/>
      <c r="C12" s="719"/>
      <c r="D12" s="719"/>
      <c r="E12" s="719"/>
      <c r="F12" s="719"/>
      <c r="G12" s="719"/>
      <c r="H12" s="719"/>
      <c r="I12" s="719"/>
      <c r="J12" s="720"/>
      <c r="K12" s="227"/>
      <c r="L12" s="337" t="str">
        <f>+Idiomas!D88</f>
        <v>· In case of a tie in the position of a group or in the best third-placed teams, you can select the order of the drawed nations</v>
      </c>
      <c r="M12" s="238"/>
      <c r="N12" s="238"/>
      <c r="O12" s="238"/>
      <c r="P12" s="238"/>
      <c r="Q12" s="238"/>
      <c r="R12" s="341"/>
    </row>
    <row r="13" spans="1:18" x14ac:dyDescent="0.2">
      <c r="A13" s="226"/>
      <c r="B13" s="231"/>
      <c r="C13" s="231"/>
      <c r="D13" s="231"/>
      <c r="E13" s="231"/>
      <c r="F13" s="231"/>
      <c r="G13" s="231"/>
      <c r="H13" s="231"/>
      <c r="I13" s="231"/>
      <c r="J13" s="231"/>
      <c r="K13" s="227"/>
      <c r="L13" s="337" t="str">
        <f>+Idiomas!D89</f>
        <v>· Playoffs are set automatically</v>
      </c>
      <c r="M13" s="238"/>
      <c r="N13" s="238"/>
      <c r="O13" s="238"/>
      <c r="P13" s="238"/>
      <c r="Q13" s="238"/>
      <c r="R13" s="341"/>
    </row>
    <row r="14" spans="1:18" x14ac:dyDescent="0.2">
      <c r="A14" s="226"/>
      <c r="B14" s="234"/>
      <c r="C14" s="235"/>
      <c r="D14" s="235"/>
      <c r="E14" s="235"/>
      <c r="F14" s="235"/>
      <c r="G14" s="235"/>
      <c r="H14" s="235"/>
      <c r="I14" s="235"/>
      <c r="J14" s="236"/>
      <c r="K14" s="227"/>
      <c r="L14" s="337" t="str">
        <f>+Idiomas!D90</f>
        <v>· Fill in the results of the knockout stages. In the event of a tie, two cells are opened on the sides to introduce the result of the penalties</v>
      </c>
      <c r="M14" s="238"/>
      <c r="N14" s="238"/>
      <c r="O14" s="238"/>
      <c r="P14" s="238"/>
      <c r="Q14" s="238"/>
      <c r="R14" s="341"/>
    </row>
    <row r="15" spans="1:18" x14ac:dyDescent="0.2">
      <c r="A15" s="226"/>
      <c r="B15" s="266" t="str">
        <f>Idiomas!D80</f>
        <v>Author:</v>
      </c>
      <c r="C15" s="237" t="s">
        <v>27</v>
      </c>
      <c r="D15" s="237"/>
      <c r="E15" s="237" t="s">
        <v>1325</v>
      </c>
      <c r="F15" s="238"/>
      <c r="G15" s="237" t="s">
        <v>1326</v>
      </c>
      <c r="H15" s="238"/>
      <c r="I15" s="239"/>
      <c r="J15" s="240"/>
      <c r="K15" s="227"/>
      <c r="L15" s="337" t="str">
        <f>+Idiomas!D91</f>
        <v>· If you're going to participate in a pool/sweepstake, fill in the best players and top scorers</v>
      </c>
      <c r="M15" s="238"/>
      <c r="N15" s="238"/>
      <c r="O15" s="238"/>
      <c r="P15" s="238"/>
      <c r="Q15" s="238"/>
      <c r="R15" s="341"/>
    </row>
    <row r="16" spans="1:18" x14ac:dyDescent="0.2">
      <c r="A16" s="226"/>
      <c r="B16" s="267" t="str">
        <f>Idiomas!D81</f>
        <v>Last version:</v>
      </c>
      <c r="C16" s="241">
        <v>46113</v>
      </c>
      <c r="D16" s="241"/>
      <c r="E16" s="242"/>
      <c r="F16" s="242"/>
      <c r="G16" s="242"/>
      <c r="H16" s="242"/>
      <c r="I16" s="243"/>
      <c r="J16" s="244"/>
      <c r="K16" s="227"/>
      <c r="L16" s="342"/>
      <c r="M16" s="343"/>
      <c r="N16" s="343"/>
      <c r="O16" s="343"/>
      <c r="P16" s="343"/>
      <c r="Q16" s="343"/>
      <c r="R16" s="344"/>
    </row>
    <row r="17" spans="1:158" x14ac:dyDescent="0.2">
      <c r="A17" s="226"/>
      <c r="B17" s="245"/>
      <c r="C17" s="246"/>
      <c r="D17" s="246"/>
      <c r="E17" s="246"/>
      <c r="F17" s="246"/>
      <c r="G17" s="246"/>
      <c r="H17" s="246"/>
      <c r="I17" s="246"/>
      <c r="J17" s="247"/>
      <c r="K17" s="227"/>
      <c r="L17"/>
      <c r="M17"/>
      <c r="N17"/>
      <c r="O17"/>
      <c r="P17"/>
      <c r="Q17"/>
      <c r="R17"/>
    </row>
    <row r="18" spans="1:158" x14ac:dyDescent="0.2">
      <c r="A18" s="226"/>
      <c r="B18" s="232"/>
      <c r="C18" s="232"/>
      <c r="D18" s="232"/>
      <c r="E18" s="233"/>
      <c r="F18" s="233"/>
      <c r="G18" s="226"/>
      <c r="H18" s="226"/>
      <c r="I18" s="226"/>
      <c r="J18" s="613"/>
      <c r="K18" s="227"/>
      <c r="L18" s="265" t="s">
        <v>443</v>
      </c>
      <c r="M18"/>
      <c r="N18"/>
      <c r="O18"/>
      <c r="P18"/>
      <c r="Q18"/>
      <c r="R18"/>
    </row>
    <row r="19" spans="1:158" ht="20" customHeight="1" x14ac:dyDescent="0.2">
      <c r="A19" s="227"/>
      <c r="B19" s="248"/>
      <c r="C19" s="250" t="str">
        <f>Idiomas!D83</f>
        <v>TO DOWNLOAD, CLICK ON</v>
      </c>
      <c r="D19" s="250"/>
      <c r="E19" s="321">
        <v>2</v>
      </c>
      <c r="F19" s="249"/>
      <c r="G19" s="250"/>
      <c r="H19" s="251"/>
      <c r="I19" s="251"/>
      <c r="J19" s="252"/>
      <c r="K19" s="227"/>
      <c r="L19" s="338"/>
      <c r="M19" s="339"/>
      <c r="N19" s="339"/>
      <c r="O19" s="339"/>
      <c r="P19" s="339"/>
      <c r="Q19" s="339"/>
      <c r="R19" s="340"/>
    </row>
    <row r="20" spans="1:158" x14ac:dyDescent="0.2">
      <c r="A20" s="227"/>
      <c r="B20" s="257"/>
      <c r="C20" s="268" t="s">
        <v>1376</v>
      </c>
      <c r="D20" s="268"/>
      <c r="E20" s="269" t="s">
        <v>223</v>
      </c>
      <c r="F20" s="269"/>
      <c r="G20" s="269" t="s">
        <v>359</v>
      </c>
      <c r="H20" s="253"/>
      <c r="I20" s="253"/>
      <c r="J20" s="244"/>
      <c r="K20" s="227"/>
      <c r="L20" s="337" t="str">
        <f>+Idiomas!D94</f>
        <v>· On this sheet you don't have to write anything</v>
      </c>
      <c r="M20" s="238"/>
      <c r="N20" s="238"/>
      <c r="O20" s="238"/>
      <c r="P20" s="238"/>
      <c r="Q20" s="238"/>
      <c r="R20" s="341"/>
    </row>
    <row r="21" spans="1:158" s="262" customFormat="1" ht="20" customHeight="1" x14ac:dyDescent="0.2">
      <c r="A21" s="258"/>
      <c r="B21" s="259"/>
      <c r="C21" s="264" t="s">
        <v>1324</v>
      </c>
      <c r="D21" s="273"/>
      <c r="E21" s="270">
        <v>2</v>
      </c>
      <c r="F21" s="273"/>
      <c r="G21" s="270">
        <v>2</v>
      </c>
      <c r="H21" s="260"/>
      <c r="I21" s="253"/>
      <c r="J21" s="261"/>
      <c r="K21" s="258"/>
      <c r="L21" s="337" t="str">
        <f>+Idiomas!D95</f>
        <v>· It is used for the organizer of the sweepstakes to copy these results and paste them into the administrator file</v>
      </c>
      <c r="M21" s="238"/>
      <c r="N21" s="238"/>
      <c r="O21" s="238"/>
      <c r="P21" s="238"/>
      <c r="Q21" s="238"/>
      <c r="R21" s="341"/>
      <c r="S21"/>
      <c r="T21" s="16"/>
      <c r="U21" s="592"/>
      <c r="V21" s="592"/>
      <c r="W21" s="592"/>
      <c r="X21" s="592"/>
      <c r="Y21" s="592"/>
      <c r="Z21" s="581"/>
      <c r="AA21" s="581"/>
      <c r="AB21" s="581"/>
      <c r="ET21" s="581"/>
      <c r="EU21" s="581"/>
      <c r="EV21" s="581"/>
      <c r="EW21" s="581"/>
      <c r="EX21" s="581"/>
      <c r="EY21" s="581"/>
      <c r="EZ21" s="581"/>
      <c r="FA21" s="581"/>
      <c r="FB21" s="581"/>
    </row>
    <row r="22" spans="1:158" s="262" customFormat="1" ht="2" customHeight="1" x14ac:dyDescent="0.2">
      <c r="A22" s="258"/>
      <c r="B22" s="259"/>
      <c r="C22" s="260"/>
      <c r="D22" s="260"/>
      <c r="E22" s="260"/>
      <c r="F22" s="260"/>
      <c r="G22" s="260"/>
      <c r="H22" s="260"/>
      <c r="I22" s="253"/>
      <c r="J22" s="261"/>
      <c r="K22" s="258"/>
      <c r="L22" s="337"/>
      <c r="M22" s="238"/>
      <c r="N22" s="238"/>
      <c r="O22" s="238"/>
      <c r="P22" s="238"/>
      <c r="Q22" s="238"/>
      <c r="R22" s="341"/>
      <c r="S22"/>
      <c r="T22" s="16"/>
      <c r="U22" s="592"/>
      <c r="V22" s="592"/>
      <c r="W22" s="592"/>
      <c r="X22" s="592"/>
      <c r="Y22" s="592"/>
      <c r="Z22" s="581"/>
      <c r="AA22" s="581"/>
      <c r="AB22" s="581"/>
      <c r="ET22" s="581"/>
      <c r="EU22" s="581"/>
      <c r="EV22" s="581"/>
      <c r="EW22" s="581"/>
      <c r="EX22" s="581"/>
      <c r="EY22" s="581"/>
      <c r="EZ22" s="581"/>
      <c r="FA22" s="581"/>
      <c r="FB22" s="581"/>
    </row>
    <row r="23" spans="1:158" s="262" customFormat="1" ht="20" customHeight="1" x14ac:dyDescent="0.2">
      <c r="A23" s="258"/>
      <c r="B23" s="259"/>
      <c r="C23" s="264" t="s">
        <v>1306</v>
      </c>
      <c r="D23" s="273"/>
      <c r="E23" s="271">
        <v>2</v>
      </c>
      <c r="F23" s="273"/>
      <c r="G23" s="271">
        <v>2</v>
      </c>
      <c r="H23" s="260"/>
      <c r="I23" s="260"/>
      <c r="J23" s="261"/>
      <c r="K23" s="258"/>
      <c r="L23" s="342"/>
      <c r="M23" s="343"/>
      <c r="N23" s="343"/>
      <c r="O23" s="343"/>
      <c r="P23" s="343"/>
      <c r="Q23" s="343"/>
      <c r="R23" s="344"/>
      <c r="S23"/>
      <c r="T23" s="16"/>
      <c r="U23" s="592"/>
      <c r="V23" s="592"/>
      <c r="W23" s="592"/>
      <c r="X23" s="592"/>
      <c r="Y23" s="592"/>
      <c r="Z23" s="581"/>
      <c r="AA23" s="581"/>
      <c r="AB23" s="581"/>
      <c r="ET23" s="581"/>
      <c r="EU23" s="581"/>
      <c r="EV23" s="581"/>
      <c r="EW23" s="581"/>
      <c r="EX23" s="581"/>
      <c r="EY23" s="581"/>
      <c r="EZ23" s="581"/>
      <c r="FA23" s="581"/>
      <c r="FB23" s="581"/>
    </row>
    <row r="24" spans="1:158" s="262" customFormat="1" ht="2" customHeight="1" x14ac:dyDescent="0.2">
      <c r="A24" s="258"/>
      <c r="B24" s="259"/>
      <c r="C24" s="260"/>
      <c r="D24" s="260"/>
      <c r="E24" s="260"/>
      <c r="F24" s="260"/>
      <c r="G24" s="260"/>
      <c r="H24" s="260"/>
      <c r="I24" s="260"/>
      <c r="J24" s="261"/>
      <c r="K24" s="258"/>
      <c r="L24" s="263"/>
      <c r="M24" s="263"/>
      <c r="N24" s="263"/>
      <c r="O24" s="263"/>
      <c r="P24" s="263"/>
      <c r="Q24" s="263"/>
      <c r="R24" s="263"/>
      <c r="S24"/>
      <c r="T24" s="16"/>
      <c r="U24" s="592"/>
      <c r="V24" s="592"/>
      <c r="W24" s="592"/>
      <c r="X24" s="592"/>
      <c r="Y24" s="592"/>
      <c r="Z24" s="581"/>
      <c r="AA24" s="581"/>
      <c r="AB24" s="581"/>
      <c r="ET24" s="581"/>
      <c r="EU24" s="581"/>
      <c r="EV24" s="581"/>
      <c r="EW24" s="581"/>
      <c r="EX24" s="581"/>
      <c r="EY24" s="581"/>
      <c r="EZ24" s="581"/>
      <c r="FA24" s="581"/>
      <c r="FB24" s="581"/>
    </row>
    <row r="25" spans="1:158" s="262" customFormat="1" ht="20" customHeight="1" x14ac:dyDescent="0.2">
      <c r="A25" s="258"/>
      <c r="B25" s="259"/>
      <c r="C25" s="264" t="s">
        <v>1273</v>
      </c>
      <c r="D25" s="273"/>
      <c r="E25" s="271">
        <v>2</v>
      </c>
      <c r="F25" s="273"/>
      <c r="G25" s="272">
        <v>0</v>
      </c>
      <c r="H25" s="260"/>
      <c r="I25" s="260"/>
      <c r="J25" s="261"/>
      <c r="K25" s="258"/>
      <c r="L25" s="345" t="s">
        <v>1312</v>
      </c>
      <c r="M25"/>
      <c r="N25"/>
      <c r="O25"/>
      <c r="P25"/>
      <c r="Q25"/>
      <c r="R25"/>
      <c r="S25"/>
      <c r="T25" s="16"/>
      <c r="U25" s="592"/>
      <c r="V25" s="592"/>
      <c r="W25" s="592"/>
      <c r="X25" s="592"/>
      <c r="Y25" s="592"/>
      <c r="Z25" s="581"/>
      <c r="AA25" s="581"/>
      <c r="AB25" s="581"/>
      <c r="ET25" s="581"/>
      <c r="EU25" s="581"/>
      <c r="EV25" s="581"/>
      <c r="EW25" s="581"/>
      <c r="EX25" s="581"/>
      <c r="EY25" s="581"/>
      <c r="EZ25" s="581"/>
      <c r="FA25" s="581"/>
      <c r="FB25" s="581"/>
    </row>
    <row r="26" spans="1:158" s="262" customFormat="1" ht="2" customHeight="1" x14ac:dyDescent="0.2">
      <c r="A26" s="258"/>
      <c r="B26" s="259"/>
      <c r="C26" s="260"/>
      <c r="D26" s="260"/>
      <c r="E26" s="260"/>
      <c r="F26" s="260"/>
      <c r="G26" s="260"/>
      <c r="H26" s="260"/>
      <c r="I26" s="260"/>
      <c r="J26" s="261"/>
      <c r="K26" s="258"/>
      <c r="L26" s="263"/>
      <c r="M26" s="263"/>
      <c r="N26" s="263"/>
      <c r="O26" s="263"/>
      <c r="P26" s="263"/>
      <c r="Q26" s="263"/>
      <c r="R26" s="263"/>
      <c r="S26"/>
      <c r="T26" s="16"/>
      <c r="U26" s="592"/>
      <c r="V26" s="592"/>
      <c r="W26" s="592"/>
      <c r="X26" s="592"/>
      <c r="Y26" s="592"/>
      <c r="Z26" s="581"/>
      <c r="AA26" s="581"/>
      <c r="AB26" s="581"/>
      <c r="ET26" s="581"/>
      <c r="EU26" s="581"/>
      <c r="EV26" s="581"/>
      <c r="EW26" s="581"/>
      <c r="EX26" s="581"/>
      <c r="EY26" s="581"/>
      <c r="EZ26" s="581"/>
      <c r="FA26" s="581"/>
      <c r="FB26" s="581"/>
    </row>
    <row r="27" spans="1:158" s="262" customFormat="1" ht="20" customHeight="1" x14ac:dyDescent="0.2">
      <c r="A27" s="258"/>
      <c r="B27" s="259"/>
      <c r="C27" s="264" t="s">
        <v>1274</v>
      </c>
      <c r="D27" s="273"/>
      <c r="E27" s="271">
        <v>2</v>
      </c>
      <c r="F27" s="273"/>
      <c r="G27" s="272">
        <v>0</v>
      </c>
      <c r="H27" s="260"/>
      <c r="I27" s="260"/>
      <c r="J27" s="261"/>
      <c r="K27" s="258"/>
      <c r="L27" s="338" t="str">
        <f>+Idiomas!D96</f>
        <v>· This sheet shows a view of all the results entered in the WORLDCUP sheet, nothing is filled in on this sheet.</v>
      </c>
      <c r="M27" s="339"/>
      <c r="N27" s="339"/>
      <c r="O27" s="339"/>
      <c r="P27" s="339"/>
      <c r="Q27" s="339"/>
      <c r="R27" s="340"/>
      <c r="S27"/>
      <c r="T27" s="16"/>
      <c r="U27" s="592"/>
      <c r="V27" s="592"/>
      <c r="W27" s="592"/>
      <c r="X27" s="592"/>
      <c r="Y27" s="592"/>
      <c r="Z27" s="581"/>
      <c r="AA27" s="581"/>
      <c r="AB27" s="581"/>
      <c r="ET27" s="581"/>
      <c r="EU27" s="581"/>
      <c r="EV27" s="581"/>
      <c r="EW27" s="581"/>
      <c r="EX27" s="581"/>
      <c r="EY27" s="581"/>
      <c r="EZ27" s="581"/>
      <c r="FA27" s="581"/>
      <c r="FB27" s="581"/>
    </row>
    <row r="28" spans="1:158" s="262" customFormat="1" ht="2" customHeight="1" x14ac:dyDescent="0.2">
      <c r="A28" s="258"/>
      <c r="B28" s="259"/>
      <c r="C28" s="260"/>
      <c r="D28" s="260"/>
      <c r="E28" s="260"/>
      <c r="F28" s="260"/>
      <c r="G28" s="260"/>
      <c r="H28" s="260"/>
      <c r="I28" s="260"/>
      <c r="J28" s="261"/>
      <c r="K28" s="258"/>
      <c r="L28" s="394"/>
      <c r="M28" s="395"/>
      <c r="N28" s="395"/>
      <c r="O28" s="395"/>
      <c r="P28" s="395"/>
      <c r="Q28" s="395"/>
      <c r="R28" s="395"/>
      <c r="S28"/>
      <c r="T28" s="16"/>
      <c r="U28" s="592"/>
      <c r="V28" s="592"/>
      <c r="W28" s="592"/>
      <c r="X28" s="592"/>
      <c r="Y28" s="592"/>
      <c r="Z28" s="581"/>
      <c r="AA28" s="581"/>
      <c r="AB28" s="581"/>
      <c r="ET28" s="581"/>
      <c r="EU28" s="581"/>
      <c r="EV28" s="581"/>
      <c r="EW28" s="581"/>
      <c r="EX28" s="581"/>
      <c r="EY28" s="581"/>
      <c r="EZ28" s="581"/>
      <c r="FA28" s="581"/>
      <c r="FB28" s="581"/>
    </row>
    <row r="29" spans="1:158" s="262" customFormat="1" ht="20" customHeight="1" x14ac:dyDescent="0.2">
      <c r="A29" s="258"/>
      <c r="B29" s="259"/>
      <c r="C29" s="264" t="s">
        <v>1275</v>
      </c>
      <c r="D29" s="273"/>
      <c r="E29" s="272">
        <v>0</v>
      </c>
      <c r="F29" s="273"/>
      <c r="G29" s="271">
        <v>2</v>
      </c>
      <c r="H29" s="260"/>
      <c r="I29" s="260"/>
      <c r="J29" s="261"/>
      <c r="K29" s="258"/>
      <c r="S29"/>
      <c r="T29" s="16"/>
      <c r="U29" s="592"/>
      <c r="V29" s="592"/>
      <c r="W29" s="592"/>
      <c r="X29" s="592"/>
      <c r="Y29" s="592"/>
      <c r="Z29" s="581"/>
      <c r="AA29" s="581"/>
      <c r="AB29" s="581"/>
      <c r="ET29" s="581"/>
      <c r="EU29" s="581"/>
      <c r="EV29" s="581"/>
      <c r="EW29" s="581"/>
      <c r="EX29" s="581"/>
      <c r="EY29" s="581"/>
      <c r="EZ29" s="581"/>
      <c r="FA29" s="581"/>
      <c r="FB29" s="581"/>
    </row>
    <row r="30" spans="1:158" s="262" customFormat="1" ht="2" customHeight="1" x14ac:dyDescent="0.2">
      <c r="A30" s="258"/>
      <c r="B30" s="259"/>
      <c r="C30" s="260"/>
      <c r="D30" s="260"/>
      <c r="E30" s="260"/>
      <c r="F30" s="260"/>
      <c r="G30" s="260"/>
      <c r="H30" s="260"/>
      <c r="I30" s="260"/>
      <c r="J30" s="261"/>
      <c r="K30" s="258"/>
      <c r="S30"/>
      <c r="T30" s="16"/>
      <c r="U30" s="592"/>
      <c r="V30" s="592"/>
      <c r="W30" s="592"/>
      <c r="X30" s="592"/>
      <c r="Y30" s="592"/>
      <c r="Z30" s="581"/>
      <c r="AA30" s="581"/>
      <c r="AB30" s="581"/>
      <c r="ET30" s="581"/>
      <c r="EU30" s="581"/>
      <c r="EV30" s="581"/>
      <c r="EW30" s="581"/>
      <c r="EX30" s="581"/>
      <c r="EY30" s="581"/>
      <c r="EZ30" s="581"/>
      <c r="FA30" s="581"/>
      <c r="FB30" s="581"/>
    </row>
    <row r="31" spans="1:158" s="262" customFormat="1" ht="20" customHeight="1" x14ac:dyDescent="0.2">
      <c r="A31" s="258"/>
      <c r="B31" s="259"/>
      <c r="C31" s="264" t="s">
        <v>1276</v>
      </c>
      <c r="D31" s="273"/>
      <c r="E31" s="271">
        <v>2</v>
      </c>
      <c r="F31" s="273"/>
      <c r="G31" s="272">
        <v>0</v>
      </c>
      <c r="H31" s="260"/>
      <c r="I31" s="260"/>
      <c r="J31" s="261"/>
      <c r="K31" s="258"/>
      <c r="S31"/>
      <c r="T31" s="16"/>
      <c r="U31" s="592"/>
      <c r="V31" s="592"/>
      <c r="W31" s="592"/>
      <c r="X31" s="592"/>
      <c r="Y31" s="592"/>
      <c r="Z31" s="581"/>
      <c r="AA31" s="581"/>
      <c r="AB31" s="581"/>
      <c r="ET31" s="581"/>
      <c r="EU31" s="581"/>
      <c r="EV31" s="581"/>
      <c r="EW31" s="581"/>
      <c r="EX31" s="581"/>
      <c r="EY31" s="581"/>
      <c r="EZ31" s="581"/>
      <c r="FA31" s="581"/>
      <c r="FB31" s="581"/>
    </row>
    <row r="32" spans="1:158" x14ac:dyDescent="0.2">
      <c r="A32" s="227"/>
      <c r="B32" s="254"/>
      <c r="C32" s="255"/>
      <c r="D32" s="255"/>
      <c r="E32" s="255"/>
      <c r="F32" s="255"/>
      <c r="G32" s="255"/>
      <c r="H32" s="255"/>
      <c r="I32" s="255"/>
      <c r="J32" s="256"/>
      <c r="K32" s="227"/>
      <c r="L32" s="262"/>
      <c r="M32" s="262"/>
      <c r="N32" s="262"/>
      <c r="O32" s="262"/>
      <c r="P32" s="262"/>
      <c r="Q32" s="262"/>
      <c r="R32" s="262"/>
    </row>
    <row r="33" spans="1:17" ht="16" thickBot="1" x14ac:dyDescent="0.25">
      <c r="A33" s="227"/>
      <c r="K33" s="227"/>
    </row>
    <row r="34" spans="1:17" ht="28" customHeight="1" thickBot="1" x14ac:dyDescent="0.25">
      <c r="A34" s="227"/>
      <c r="B34" s="721" t="str">
        <f>HYPERLINK(Idiomas!D10,Idiomas!D9)</f>
        <v>▼ Download Administrator Excel File ▼</v>
      </c>
      <c r="C34" s="722"/>
      <c r="D34" s="722"/>
      <c r="E34" s="722"/>
      <c r="F34" s="722"/>
      <c r="G34" s="722"/>
      <c r="H34" s="722"/>
      <c r="I34" s="722"/>
      <c r="J34" s="723"/>
      <c r="K34" s="227"/>
      <c r="L34" s="288" t="s">
        <v>1350</v>
      </c>
    </row>
    <row r="35" spans="1:17" x14ac:dyDescent="0.2">
      <c r="A35" s="227"/>
      <c r="C35" s="227"/>
      <c r="D35" s="227"/>
      <c r="E35" s="227"/>
      <c r="F35" s="227"/>
      <c r="G35" s="227"/>
      <c r="H35" s="227"/>
      <c r="I35" s="227"/>
      <c r="J35" s="227"/>
      <c r="K35" s="227"/>
      <c r="L35" s="227"/>
      <c r="M35" s="226"/>
      <c r="N35" s="227"/>
      <c r="O35" s="227"/>
      <c r="P35" s="227"/>
      <c r="Q35" s="227"/>
    </row>
    <row r="36" spans="1:17" ht="28" customHeight="1" x14ac:dyDescent="0.2">
      <c r="A36" s="227"/>
      <c r="D36" s="227"/>
      <c r="E36" s="227"/>
      <c r="F36" s="227"/>
      <c r="G36" s="227"/>
      <c r="H36" s="227"/>
      <c r="I36" s="227"/>
      <c r="J36" s="227"/>
      <c r="K36" s="227"/>
      <c r="L36" s="227"/>
      <c r="M36" s="226"/>
      <c r="N36" s="227"/>
      <c r="O36" s="227"/>
      <c r="P36" s="227"/>
      <c r="Q36" s="227"/>
    </row>
    <row r="37" spans="1:17" ht="15" customHeight="1" x14ac:dyDescent="0.2">
      <c r="A37" s="227"/>
      <c r="K37" s="227"/>
      <c r="L37" s="227"/>
      <c r="M37" s="226"/>
      <c r="N37" s="227"/>
      <c r="O37" s="227"/>
      <c r="P37" s="227"/>
      <c r="Q37" s="227"/>
    </row>
    <row r="38" spans="1:17" ht="34" customHeight="1" x14ac:dyDescent="0.2">
      <c r="A38" s="227"/>
      <c r="B38" s="227"/>
      <c r="D38" s="227"/>
      <c r="E38" s="227"/>
      <c r="F38" s="227"/>
      <c r="G38" s="227"/>
      <c r="H38" s="227"/>
      <c r="I38" s="227"/>
      <c r="J38" s="227"/>
      <c r="K38" s="227"/>
      <c r="M38" s="227"/>
      <c r="N38" s="227"/>
      <c r="O38" s="227"/>
      <c r="P38" s="227"/>
      <c r="Q38" s="227"/>
    </row>
    <row r="39" spans="1:17" x14ac:dyDescent="0.2">
      <c r="A39" s="227"/>
      <c r="B39" s="227"/>
      <c r="C39" s="227"/>
      <c r="D39" s="227"/>
      <c r="E39" s="227"/>
      <c r="F39" s="227"/>
      <c r="G39" s="227"/>
      <c r="H39" s="227"/>
      <c r="I39" s="227"/>
      <c r="J39" s="227"/>
      <c r="K39" s="227"/>
      <c r="L39" s="227"/>
      <c r="M39" s="227"/>
      <c r="N39" s="227"/>
      <c r="O39" s="227"/>
      <c r="P39" s="227"/>
      <c r="Q39" s="227"/>
    </row>
    <row r="40" spans="1:17" x14ac:dyDescent="0.2">
      <c r="A40" s="227"/>
      <c r="B40" s="227"/>
      <c r="C40" s="227"/>
      <c r="D40" s="227"/>
      <c r="E40" s="227"/>
      <c r="F40" s="227"/>
      <c r="G40" s="227"/>
      <c r="H40" s="227"/>
      <c r="I40" s="227"/>
      <c r="J40" s="227"/>
      <c r="K40" s="227"/>
      <c r="L40" s="227"/>
      <c r="M40" s="227"/>
      <c r="N40" s="227"/>
      <c r="O40" s="227"/>
      <c r="P40" s="227"/>
      <c r="Q40" s="227"/>
    </row>
    <row r="41" spans="1:17" x14ac:dyDescent="0.2">
      <c r="A41" s="227"/>
      <c r="B41" s="227"/>
      <c r="C41" s="227"/>
      <c r="D41" s="227"/>
      <c r="E41" s="227"/>
      <c r="F41" s="227"/>
      <c r="G41" s="227"/>
      <c r="H41" s="227"/>
      <c r="I41" s="227"/>
      <c r="J41" s="227"/>
      <c r="K41" s="227"/>
      <c r="L41" s="227"/>
      <c r="M41" s="227"/>
      <c r="N41" s="227"/>
      <c r="O41" s="227"/>
      <c r="P41" s="227"/>
      <c r="Q41" s="227"/>
    </row>
    <row r="45" spans="1:17" x14ac:dyDescent="0.2">
      <c r="B45" s="227"/>
    </row>
    <row r="83" spans="12:28" x14ac:dyDescent="0.2">
      <c r="L83" s="3"/>
      <c r="M83" s="3"/>
      <c r="N83" s="3"/>
      <c r="O83" s="583"/>
      <c r="P83" s="6"/>
      <c r="Q83" s="6"/>
      <c r="R83" s="6"/>
      <c r="U83" s="9"/>
      <c r="V83" s="9"/>
      <c r="W83" s="9"/>
      <c r="X83" s="9"/>
      <c r="Y83" s="9"/>
      <c r="Z83" s="6"/>
      <c r="AA83" s="6"/>
      <c r="AB83" s="6"/>
    </row>
    <row r="84" spans="12:28" ht="60" customHeight="1" x14ac:dyDescent="0.2">
      <c r="L84" s="3"/>
      <c r="M84" s="724" t="str">
        <f>Idiomas!D273</f>
        <v>If Iran doesn't participate in the World Cup and is replaced by another team, select the substitute nation from the dropdown menu. If it doesn't appear, choose 'Otro/Other' and manually enter the name (Spanish and English), its UTC zone and, optionally, its flag image.</v>
      </c>
      <c r="N84" s="724"/>
      <c r="O84" s="724"/>
      <c r="P84" s="724"/>
      <c r="Q84" s="724"/>
      <c r="R84" s="724"/>
      <c r="U84" s="9"/>
      <c r="V84" s="9"/>
      <c r="W84" s="9"/>
      <c r="X84" s="9"/>
      <c r="Y84" s="9"/>
      <c r="Z84" s="6"/>
      <c r="AA84" s="6"/>
      <c r="AB84" s="6"/>
    </row>
    <row r="85" spans="12:28" x14ac:dyDescent="0.2">
      <c r="L85" s="3"/>
      <c r="M85" s="3"/>
      <c r="N85" s="3"/>
      <c r="O85" s="6"/>
      <c r="P85" s="6"/>
      <c r="Q85" s="6"/>
      <c r="R85" s="6"/>
      <c r="U85" s="9"/>
      <c r="V85" s="9"/>
      <c r="W85" s="9"/>
      <c r="X85" s="9"/>
      <c r="Y85" s="9"/>
      <c r="Z85" s="6"/>
      <c r="AA85" s="6"/>
      <c r="AB85" s="6"/>
    </row>
    <row r="86" spans="12:28" x14ac:dyDescent="0.2">
      <c r="L86" s="3"/>
      <c r="M86" s="409" t="s">
        <v>1471</v>
      </c>
      <c r="N86" s="6"/>
      <c r="O86" s="6"/>
      <c r="P86" s="6"/>
      <c r="Q86" s="6"/>
      <c r="R86" s="6"/>
      <c r="T86" s="16" t="s">
        <v>1476</v>
      </c>
      <c r="U86" s="409" t="s">
        <v>1458</v>
      </c>
      <c r="V86" s="409" t="s">
        <v>1459</v>
      </c>
      <c r="W86" s="409" t="s">
        <v>1472</v>
      </c>
      <c r="X86" s="409" t="s">
        <v>1473</v>
      </c>
      <c r="Y86" s="409" t="s">
        <v>1474</v>
      </c>
      <c r="Z86" s="6"/>
      <c r="AA86" s="6"/>
      <c r="AB86" s="6"/>
    </row>
    <row r="87" spans="12:28" x14ac:dyDescent="0.2">
      <c r="L87" s="3"/>
      <c r="M87" s="612" t="s">
        <v>1477</v>
      </c>
      <c r="N87" s="9" t="str">
        <f>IFERROR(IF($J$18="",$U$87,INDEX($U$87:$U$91,MATCH(M87,$T$87:$T$91,0))),"")</f>
        <v>Irán</v>
      </c>
      <c r="O87" s="9" t="str">
        <f>IFERROR(IF($J$18="",$V$87,INDEX($V$87:$V$91,MATCH(M87,$T$87:$T$91,0))),"")</f>
        <v>Iran</v>
      </c>
      <c r="P87" s="6"/>
      <c r="Q87" s="6"/>
      <c r="R87" s="6"/>
      <c r="T87" s="16" t="s">
        <v>1477</v>
      </c>
      <c r="U87" s="9" t="s">
        <v>1267</v>
      </c>
      <c r="V87" s="9" t="s">
        <v>1287</v>
      </c>
      <c r="W87" s="9" t="s">
        <v>1288</v>
      </c>
      <c r="X87" s="9" t="e" vm="1">
        <v>#VALUE!</v>
      </c>
      <c r="Y87" s="9">
        <v>3.5</v>
      </c>
      <c r="Z87" s="6"/>
      <c r="AA87" s="6"/>
      <c r="AB87" s="6"/>
    </row>
    <row r="88" spans="12:28" x14ac:dyDescent="0.2">
      <c r="L88" s="3"/>
      <c r="M88" s="3"/>
      <c r="N88" s="3"/>
      <c r="O88" s="6"/>
      <c r="P88" s="6"/>
      <c r="Q88" s="6"/>
      <c r="R88" s="6"/>
      <c r="T88" s="16" t="s">
        <v>1478</v>
      </c>
      <c r="U88" s="9" t="s">
        <v>1463</v>
      </c>
      <c r="V88" s="9" t="s">
        <v>1464</v>
      </c>
      <c r="W88" s="9" t="s">
        <v>1465</v>
      </c>
      <c r="X88" s="584" t="e" vm="2">
        <v>#VALUE!</v>
      </c>
      <c r="Y88" s="9">
        <v>4</v>
      </c>
      <c r="Z88" s="6"/>
      <c r="AA88" s="6"/>
      <c r="AB88" s="6"/>
    </row>
    <row r="89" spans="12:28" ht="16" x14ac:dyDescent="0.2">
      <c r="L89" s="3"/>
      <c r="M89" s="3"/>
      <c r="N89" s="3"/>
      <c r="O89" s="6"/>
      <c r="P89" s="6"/>
      <c r="Q89" s="6"/>
      <c r="R89" s="6"/>
      <c r="T89" s="16" t="s">
        <v>1479</v>
      </c>
      <c r="U89" s="9" t="s">
        <v>1466</v>
      </c>
      <c r="V89" s="9" t="s">
        <v>1466</v>
      </c>
      <c r="W89" s="585" t="s">
        <v>1468</v>
      </c>
      <c r="X89" s="584" t="e" vm="3">
        <v>#VALUE!</v>
      </c>
      <c r="Y89" s="9">
        <v>-4</v>
      </c>
      <c r="Z89" s="6"/>
      <c r="AA89" s="6"/>
      <c r="AB89" s="6"/>
    </row>
    <row r="90" spans="12:28" ht="16" x14ac:dyDescent="0.2">
      <c r="L90" s="3"/>
      <c r="M90" s="3"/>
      <c r="N90" s="3"/>
      <c r="O90" s="6"/>
      <c r="P90" s="6"/>
      <c r="Q90" s="6"/>
      <c r="R90" s="6"/>
      <c r="T90" s="16" t="s">
        <v>1480</v>
      </c>
      <c r="U90" s="9" t="s">
        <v>1467</v>
      </c>
      <c r="V90" s="9" t="s">
        <v>1470</v>
      </c>
      <c r="W90" s="586" t="s">
        <v>1469</v>
      </c>
      <c r="X90" s="584" t="e" vm="4">
        <v>#VALUE!</v>
      </c>
      <c r="Y90" s="9">
        <v>-3</v>
      </c>
      <c r="Z90" s="6"/>
      <c r="AA90" s="6"/>
      <c r="AB90" s="6"/>
    </row>
    <row r="91" spans="12:28" x14ac:dyDescent="0.2">
      <c r="L91" s="3"/>
      <c r="M91" s="3"/>
      <c r="N91" s="3"/>
      <c r="O91" s="6"/>
      <c r="P91" s="6"/>
      <c r="Q91" s="6"/>
      <c r="R91" s="6"/>
      <c r="T91" s="16" t="s">
        <v>1475</v>
      </c>
      <c r="U91" s="9" t="str">
        <f>N93</f>
        <v>Escribe el país</v>
      </c>
      <c r="V91" s="9" t="str">
        <f>O93</f>
        <v>Write the nation</v>
      </c>
      <c r="W91" s="9" t="str">
        <f>IF(Q93="","",Q93)</f>
        <v/>
      </c>
      <c r="X91" s="9" t="str">
        <f>IF(R93="","",R93)</f>
        <v/>
      </c>
      <c r="Y91" s="9">
        <f>IF(P93="",-4,P93)</f>
        <v>-4</v>
      </c>
      <c r="Z91" s="6"/>
      <c r="AA91" s="6"/>
      <c r="AB91" s="6"/>
    </row>
    <row r="92" spans="12:28" ht="19" customHeight="1" x14ac:dyDescent="0.2">
      <c r="L92" s="3"/>
      <c r="M92" s="3"/>
      <c r="N92" s="409" t="s">
        <v>1458</v>
      </c>
      <c r="O92" s="409" t="s">
        <v>1459</v>
      </c>
      <c r="P92" s="409" t="s">
        <v>1493</v>
      </c>
      <c r="Q92" s="409" t="s">
        <v>1481</v>
      </c>
      <c r="R92" s="409" t="s">
        <v>1473</v>
      </c>
      <c r="Z92" s="6"/>
      <c r="AA92" s="6"/>
      <c r="AB92" s="6"/>
    </row>
    <row r="93" spans="12:28" ht="25" customHeight="1" x14ac:dyDescent="0.2">
      <c r="L93" s="3"/>
      <c r="M93" s="9" t="s">
        <v>1475</v>
      </c>
      <c r="N93" s="587" t="s">
        <v>1513</v>
      </c>
      <c r="O93" s="587" t="s">
        <v>1482</v>
      </c>
      <c r="P93" s="587"/>
      <c r="Q93" s="587"/>
      <c r="R93" s="587"/>
      <c r="U93" s="9"/>
      <c r="V93" s="9"/>
      <c r="W93" s="9"/>
      <c r="X93" s="9"/>
      <c r="Y93" s="9"/>
      <c r="Z93" s="6"/>
      <c r="AA93" s="6"/>
      <c r="AB93" s="6"/>
    </row>
    <row r="94" spans="12:28" x14ac:dyDescent="0.2">
      <c r="L94" s="3"/>
      <c r="M94" s="3"/>
      <c r="N94" s="3"/>
      <c r="O94" s="6"/>
      <c r="P94" s="6"/>
      <c r="Q94" s="6"/>
      <c r="R94" s="6"/>
      <c r="U94" s="9"/>
      <c r="V94" s="9"/>
      <c r="W94" s="9"/>
      <c r="X94" s="9"/>
      <c r="Y94" s="9"/>
      <c r="Z94" s="6"/>
      <c r="AA94" s="6"/>
      <c r="AB94" s="6"/>
    </row>
    <row r="95" spans="12:28" x14ac:dyDescent="0.2">
      <c r="L95" s="3"/>
      <c r="M95" s="3"/>
      <c r="N95" s="3"/>
      <c r="O95" s="6"/>
      <c r="P95" s="6"/>
      <c r="Q95" s="6"/>
      <c r="R95" s="6"/>
      <c r="U95" s="9"/>
      <c r="V95" s="9"/>
      <c r="W95" s="9"/>
      <c r="X95" s="9"/>
      <c r="Y95" s="9"/>
      <c r="Z95" s="6"/>
      <c r="AA95" s="6"/>
      <c r="AB95" s="6"/>
    </row>
    <row r="96" spans="12:28" x14ac:dyDescent="0.2">
      <c r="L96" s="3"/>
      <c r="M96" s="3"/>
      <c r="N96" s="3"/>
      <c r="O96" s="6"/>
      <c r="P96" s="6"/>
      <c r="Q96" s="6"/>
      <c r="R96" s="6"/>
      <c r="U96" s="9"/>
      <c r="V96" s="9"/>
      <c r="W96" s="9"/>
      <c r="X96" s="9"/>
      <c r="Y96" s="9"/>
      <c r="Z96" s="6"/>
      <c r="AA96" s="6"/>
      <c r="AB96" s="6"/>
    </row>
    <row r="97" spans="12:28" x14ac:dyDescent="0.2">
      <c r="L97" s="3"/>
      <c r="M97" s="3"/>
      <c r="N97" s="3"/>
      <c r="O97" s="6"/>
      <c r="P97" s="6"/>
      <c r="Q97" s="6"/>
      <c r="R97" s="6"/>
      <c r="U97" s="9"/>
      <c r="V97" s="9"/>
      <c r="W97" s="9"/>
      <c r="X97" s="9"/>
      <c r="Y97" s="9"/>
      <c r="Z97" s="6"/>
      <c r="AA97" s="6"/>
      <c r="AB97" s="6"/>
    </row>
    <row r="98" spans="12:28" x14ac:dyDescent="0.2">
      <c r="L98" s="3"/>
      <c r="M98" s="3"/>
      <c r="N98" s="3"/>
      <c r="O98" s="6"/>
      <c r="P98" s="6"/>
      <c r="Q98" s="6"/>
      <c r="R98" s="6"/>
      <c r="U98" s="9"/>
      <c r="V98" s="9"/>
      <c r="W98" s="9"/>
      <c r="X98" s="9"/>
      <c r="Y98" s="9"/>
      <c r="Z98" s="6"/>
      <c r="AA98" s="6"/>
      <c r="AB98" s="6"/>
    </row>
    <row r="99" spans="12:28" x14ac:dyDescent="0.2">
      <c r="L99" s="3"/>
      <c r="M99" s="3"/>
      <c r="N99" s="3"/>
      <c r="O99" s="6"/>
      <c r="P99" s="6"/>
      <c r="Q99" s="6"/>
      <c r="R99" s="6"/>
      <c r="U99" s="9"/>
      <c r="V99" s="9"/>
      <c r="W99" s="9"/>
      <c r="X99" s="9"/>
      <c r="Y99" s="9"/>
      <c r="Z99" s="6"/>
      <c r="AA99" s="6"/>
      <c r="AB99" s="6"/>
    </row>
    <row r="100" spans="12:28" x14ac:dyDescent="0.2">
      <c r="L100" s="3"/>
      <c r="M100" s="3"/>
      <c r="N100" s="3"/>
      <c r="O100" s="6"/>
      <c r="P100" s="6"/>
      <c r="Q100" s="6"/>
      <c r="R100" s="6"/>
      <c r="U100" s="9"/>
      <c r="V100" s="9"/>
      <c r="W100" s="9"/>
      <c r="X100" s="9"/>
      <c r="Y100" s="9"/>
      <c r="Z100" s="6"/>
      <c r="AA100" s="6"/>
      <c r="AB100" s="6"/>
    </row>
    <row r="101" spans="12:28" x14ac:dyDescent="0.2">
      <c r="L101" s="3"/>
      <c r="M101" s="3"/>
      <c r="N101" s="3"/>
      <c r="O101" s="6"/>
      <c r="P101" s="6"/>
      <c r="Q101" s="6"/>
      <c r="R101" s="6"/>
      <c r="U101" s="9"/>
      <c r="V101" s="9"/>
      <c r="W101" s="9"/>
      <c r="X101" s="9"/>
      <c r="Y101" s="9"/>
      <c r="Z101" s="6"/>
      <c r="AA101" s="6"/>
      <c r="AB101" s="6"/>
    </row>
    <row r="6118" spans="151:157" x14ac:dyDescent="0.2">
      <c r="EU6118" s="16"/>
      <c r="EV6118" s="16"/>
      <c r="EW6118" s="16"/>
      <c r="EX6118" s="16"/>
      <c r="EY6118" s="16"/>
      <c r="EZ6118" s="16" t="s">
        <v>1451</v>
      </c>
      <c r="FA6118" s="16"/>
    </row>
    <row r="6119" spans="151:157" x14ac:dyDescent="0.2">
      <c r="EU6119" s="16" t="str">
        <f ca="1">IF(Home!$K$23=Idiomas!$D$922,EZ6119,
IF(AND(Home!$K$23&lt;&gt;Idiomas!$D$922,TODAY()&lt;=Horarios!$A$4),EZ6119,Idiomas!$D$923))</f>
        <v>Alemania</v>
      </c>
      <c r="EV6119" s="16" t="str">
        <f ca="1">IF(Home!$K$23=Idiomas!$D$922,FA6119,
IF(AND(Home!$K$23&lt;&gt;Idiomas!$D$922,TODAY()&lt;=Horarios!$A$4),FA6119,Idiomas!$D$923))</f>
        <v>Germany</v>
      </c>
      <c r="EW6119" s="16"/>
      <c r="EX6119" s="16"/>
      <c r="EY6119" s="614"/>
      <c r="EZ6119" s="614" t="s">
        <v>78</v>
      </c>
      <c r="FA6119" s="614" t="s">
        <v>308</v>
      </c>
    </row>
    <row r="6120" spans="151:157" x14ac:dyDescent="0.2">
      <c r="EU6120" s="16" t="str">
        <f ca="1">IF(Home!$K$23=Idiomas!$D$922,EZ6120,
IF(AND(Home!$K$23&lt;&gt;Idiomas!$D$922,TODAY()&lt;=Horarios!$A$4),EZ6120,Idiomas!$D$923))</f>
        <v>Arabia Saudita</v>
      </c>
      <c r="EV6120" s="16" t="str">
        <f ca="1">IF(Home!$K$23=Idiomas!$D$922,FA6120,
IF(AND(Home!$K$23&lt;&gt;Idiomas!$D$922,TODAY()&lt;=Horarios!$A$4),FA6120,Idiomas!$D$923))</f>
        <v>Saudi Arabia</v>
      </c>
      <c r="EW6120" s="16"/>
      <c r="EX6120" s="16"/>
      <c r="EY6120" s="614"/>
      <c r="EZ6120" s="614" t="s">
        <v>1377</v>
      </c>
      <c r="FA6120" s="614" t="s">
        <v>1378</v>
      </c>
    </row>
    <row r="6121" spans="151:157" x14ac:dyDescent="0.2">
      <c r="EU6121" s="16" t="str">
        <f ca="1">IF(Home!$K$23=Idiomas!$D$922,EZ6121,
IF(AND(Home!$K$23&lt;&gt;Idiomas!$D$922,TODAY()&lt;=Horarios!$A$4),EZ6121,Idiomas!$D$923))</f>
        <v>Argelia</v>
      </c>
      <c r="EV6121" s="16" t="str">
        <f ca="1">IF(Home!$K$23=Idiomas!$D$922,FA6121,
IF(AND(Home!$K$23&lt;&gt;Idiomas!$D$922,TODAY()&lt;=Horarios!$A$4),FA6121,Idiomas!$D$923))</f>
        <v>Algeria</v>
      </c>
      <c r="EW6121" s="16"/>
      <c r="EX6121" s="16"/>
      <c r="EY6121" s="614"/>
      <c r="EZ6121" s="614" t="s">
        <v>1380</v>
      </c>
      <c r="FA6121" s="614" t="s">
        <v>1381</v>
      </c>
    </row>
    <row r="6122" spans="151:157" x14ac:dyDescent="0.2">
      <c r="EU6122" s="16" t="str">
        <f ca="1">IF(Home!$K$23=Idiomas!$D$922,EZ6122,
IF(AND(Home!$K$23&lt;&gt;Idiomas!$D$922,TODAY()&lt;=Horarios!$A$4),EZ6122,Idiomas!$D$923))</f>
        <v>Argentina</v>
      </c>
      <c r="EV6122" s="16" t="str">
        <f ca="1">IF(Home!$K$23=Idiomas!$D$922,FA6122,
IF(AND(Home!$K$23&lt;&gt;Idiomas!$D$922,TODAY()&lt;=Horarios!$A$4),FA6122,Idiomas!$D$923))</f>
        <v>Argentina</v>
      </c>
      <c r="EW6122" s="16"/>
      <c r="EX6122" s="16"/>
      <c r="EY6122" s="614"/>
      <c r="EZ6122" s="614" t="s">
        <v>1261</v>
      </c>
      <c r="FA6122" s="614" t="s">
        <v>1261</v>
      </c>
    </row>
    <row r="6123" spans="151:157" x14ac:dyDescent="0.2">
      <c r="EU6123" s="16" t="str">
        <f ca="1">IF(Home!$K$23=Idiomas!$D$922,EZ6123,
IF(AND(Home!$K$23&lt;&gt;Idiomas!$D$922,TODAY()&lt;=Horarios!$A$4),EZ6123,Idiomas!$D$923))</f>
        <v>Australia</v>
      </c>
      <c r="EV6123" s="16" t="str">
        <f ca="1">IF(Home!$K$23=Idiomas!$D$922,FA6123,
IF(AND(Home!$K$23&lt;&gt;Idiomas!$D$922,TODAY()&lt;=Horarios!$A$4),FA6123,Idiomas!$D$923))</f>
        <v>Australia</v>
      </c>
      <c r="EW6123" s="16"/>
      <c r="EX6123" s="16"/>
      <c r="EY6123" s="614"/>
      <c r="EZ6123" s="614" t="s">
        <v>1262</v>
      </c>
      <c r="FA6123" s="614" t="s">
        <v>1262</v>
      </c>
    </row>
    <row r="6124" spans="151:157" x14ac:dyDescent="0.2">
      <c r="EU6124" s="16" t="str">
        <f ca="1">IF(Home!$K$23=Idiomas!$D$922,EZ6124,
IF(AND(Home!$K$23&lt;&gt;Idiomas!$D$922,TODAY()&lt;=Horarios!$A$4),EZ6124,Idiomas!$D$923))</f>
        <v>Austria</v>
      </c>
      <c r="EV6124" s="16" t="str">
        <f ca="1">IF(Home!$K$23=Idiomas!$D$922,FA6124,
IF(AND(Home!$K$23&lt;&gt;Idiomas!$D$922,TODAY()&lt;=Horarios!$A$4),FA6124,Idiomas!$D$923))</f>
        <v>Austria</v>
      </c>
      <c r="EW6124" s="16"/>
      <c r="EX6124" s="16"/>
      <c r="EY6124" s="614"/>
      <c r="EZ6124" s="614" t="s">
        <v>81</v>
      </c>
      <c r="FA6124" s="614" t="s">
        <v>81</v>
      </c>
    </row>
    <row r="6125" spans="151:157" x14ac:dyDescent="0.2">
      <c r="EU6125" s="16" t="str">
        <f ca="1">IF(Home!$K$23=Idiomas!$D$922,EZ6125,
IF(AND(Home!$K$23&lt;&gt;Idiomas!$D$922,TODAY()&lt;=Horarios!$A$4),EZ6125,Idiomas!$D$923))</f>
        <v>Bélgica</v>
      </c>
      <c r="EV6125" s="16" t="str">
        <f ca="1">IF(Home!$K$23=Idiomas!$D$922,FA6125,
IF(AND(Home!$K$23&lt;&gt;Idiomas!$D$922,TODAY()&lt;=Horarios!$A$4),FA6125,Idiomas!$D$923))</f>
        <v>Belgium</v>
      </c>
      <c r="EW6125" s="16"/>
      <c r="EX6125" s="16"/>
      <c r="EY6125" s="614"/>
      <c r="EZ6125" s="614" t="s">
        <v>111</v>
      </c>
      <c r="FA6125" s="614" t="s">
        <v>304</v>
      </c>
    </row>
    <row r="6126" spans="151:157" x14ac:dyDescent="0.2">
      <c r="EU6126" s="16" t="str">
        <f ca="1">IF(Home!$K$23=Idiomas!$D$922,EZ6126,
IF(AND(Home!$K$23&lt;&gt;Idiomas!$D$922,TODAY()&lt;=Horarios!$A$4),EZ6126,Idiomas!$D$923))</f>
        <v>Brasil</v>
      </c>
      <c r="EV6126" s="16" t="str">
        <f ca="1">IF(Home!$K$23=Idiomas!$D$922,FA6126,
IF(AND(Home!$K$23&lt;&gt;Idiomas!$D$922,TODAY()&lt;=Horarios!$A$4),FA6126,Idiomas!$D$923))</f>
        <v>Brazil</v>
      </c>
      <c r="EW6126" s="16"/>
      <c r="EX6126" s="16"/>
      <c r="EY6126" s="614"/>
      <c r="EZ6126" s="614" t="s">
        <v>1263</v>
      </c>
      <c r="FA6126" s="614" t="s">
        <v>1279</v>
      </c>
    </row>
    <row r="6127" spans="151:157" x14ac:dyDescent="0.2">
      <c r="EU6127" s="16" t="str">
        <f ca="1">IF(Home!$K$23=Idiomas!$D$922,EZ6127,
IF(AND(Home!$K$23&lt;&gt;Idiomas!$D$922,TODAY()&lt;=Horarios!$A$4),EZ6127,Idiomas!$D$923))</f>
        <v>Cabo Verde</v>
      </c>
      <c r="EV6127" s="16" t="str">
        <f ca="1">IF(Home!$K$23=Idiomas!$D$922,FA6127,
IF(AND(Home!$K$23&lt;&gt;Idiomas!$D$922,TODAY()&lt;=Horarios!$A$4),FA6127,Idiomas!$D$923))</f>
        <v>Cape Verde</v>
      </c>
      <c r="EW6127" s="16"/>
      <c r="EX6127" s="16"/>
      <c r="EY6127" s="614"/>
      <c r="EZ6127" s="614" t="s">
        <v>1383</v>
      </c>
      <c r="FA6127" s="614" t="s">
        <v>1384</v>
      </c>
    </row>
    <row r="6128" spans="151:157" x14ac:dyDescent="0.2">
      <c r="EU6128" s="16" t="str">
        <f ca="1">IF(Home!$K$23=Idiomas!$D$922,EZ6128,
IF(AND(Home!$K$23&lt;&gt;Idiomas!$D$922,TODAY()&lt;=Horarios!$A$4),EZ6128,Idiomas!$D$923))</f>
        <v>Canadá</v>
      </c>
      <c r="EV6128" s="16" t="str">
        <f ca="1">IF(Home!$K$23=Idiomas!$D$922,FA6128,
IF(AND(Home!$K$23&lt;&gt;Idiomas!$D$922,TODAY()&lt;=Horarios!$A$4),FA6128,Idiomas!$D$923))</f>
        <v>Canada</v>
      </c>
      <c r="EW6128" s="16"/>
      <c r="EX6128" s="16"/>
      <c r="EY6128" s="614"/>
      <c r="EZ6128" s="614" t="s">
        <v>1264</v>
      </c>
      <c r="FA6128" s="614" t="s">
        <v>1281</v>
      </c>
    </row>
    <row r="6129" spans="151:157" x14ac:dyDescent="0.2">
      <c r="EU6129" s="16" t="str">
        <f ca="1">IF(Home!$K$23=Idiomas!$D$922,EZ6129,
IF(AND(Home!$K$23&lt;&gt;Idiomas!$D$922,TODAY()&lt;=Horarios!$A$4),EZ6129,Idiomas!$D$923))</f>
        <v>Catar</v>
      </c>
      <c r="EV6129" s="16" t="str">
        <f ca="1">IF(Home!$K$23=Idiomas!$D$922,FA6129,
IF(AND(Home!$K$23&lt;&gt;Idiomas!$D$922,TODAY()&lt;=Horarios!$A$4),FA6129,Idiomas!$D$923))</f>
        <v>Qatar</v>
      </c>
      <c r="EW6129" s="16"/>
      <c r="EX6129" s="16"/>
      <c r="EY6129" s="614"/>
      <c r="EZ6129" s="614" t="s">
        <v>1386</v>
      </c>
      <c r="FA6129" s="614" t="s">
        <v>1387</v>
      </c>
    </row>
    <row r="6130" spans="151:157" x14ac:dyDescent="0.2">
      <c r="EU6130" s="16" t="str">
        <f ca="1">IF(Home!$K$23=Idiomas!$D$922,EZ6130,
IF(AND(Home!$K$23&lt;&gt;Idiomas!$D$922,TODAY()&lt;=Horarios!$A$4),EZ6130,Idiomas!$D$923))</f>
        <v>Colombia</v>
      </c>
      <c r="EV6130" s="16" t="str">
        <f ca="1">IF(Home!$K$23=Idiomas!$D$922,FA6130,
IF(AND(Home!$K$23&lt;&gt;Idiomas!$D$922,TODAY()&lt;=Horarios!$A$4),FA6130,Idiomas!$D$923))</f>
        <v>Colombia</v>
      </c>
      <c r="EW6130" s="16"/>
      <c r="EX6130" s="16"/>
      <c r="EY6130" s="614"/>
      <c r="EZ6130" s="614" t="s">
        <v>1335</v>
      </c>
      <c r="FA6130" s="614" t="s">
        <v>1335</v>
      </c>
    </row>
    <row r="6131" spans="151:157" x14ac:dyDescent="0.2">
      <c r="EU6131" s="16" t="str">
        <f ca="1">IF(Home!$K$23=Idiomas!$D$922,EZ6131,
IF(AND(Home!$K$23&lt;&gt;Idiomas!$D$922,TODAY()&lt;=Horarios!$A$4),EZ6131,Idiomas!$D$923))</f>
        <v>Corea del Sur</v>
      </c>
      <c r="EV6131" s="16" t="str">
        <f ca="1">IF(Home!$K$23=Idiomas!$D$922,FA6131,
IF(AND(Home!$K$23&lt;&gt;Idiomas!$D$922,TODAY()&lt;=Horarios!$A$4),FA6131,Idiomas!$D$923))</f>
        <v>South Korea</v>
      </c>
      <c r="EW6131" s="16"/>
      <c r="EX6131" s="16"/>
      <c r="EY6131" s="614"/>
      <c r="EZ6131" s="614" t="s">
        <v>1265</v>
      </c>
      <c r="FA6131" s="614" t="s">
        <v>1283</v>
      </c>
    </row>
    <row r="6132" spans="151:157" x14ac:dyDescent="0.2">
      <c r="EU6132" s="16" t="str">
        <f ca="1">IF(Home!$K$23=Idiomas!$D$922,EZ6132,
IF(AND(Home!$K$23&lt;&gt;Idiomas!$D$922,TODAY()&lt;=Horarios!$A$4),EZ6132,Idiomas!$D$923))</f>
        <v>Costa de Marfil</v>
      </c>
      <c r="EV6132" s="16" t="str">
        <f ca="1">IF(Home!$K$23=Idiomas!$D$922,FA6132,
IF(AND(Home!$K$23&lt;&gt;Idiomas!$D$922,TODAY()&lt;=Horarios!$A$4),FA6132,Idiomas!$D$923))</f>
        <v>Ivory Coast</v>
      </c>
      <c r="EW6132" s="16"/>
      <c r="EX6132" s="16"/>
      <c r="EY6132" s="16"/>
      <c r="EZ6132" s="16" t="s">
        <v>1389</v>
      </c>
      <c r="FA6132" s="614" t="s">
        <v>1390</v>
      </c>
    </row>
    <row r="6133" spans="151:157" x14ac:dyDescent="0.2">
      <c r="EU6133" s="16" t="str">
        <f ca="1">IF(Home!$K$23=Idiomas!$D$922,EZ6133,
IF(AND(Home!$K$23&lt;&gt;Idiomas!$D$922,TODAY()&lt;=Horarios!$A$4),EZ6133,Idiomas!$D$923))</f>
        <v>Croacia</v>
      </c>
      <c r="EV6133" s="16" t="str">
        <f ca="1">IF(Home!$K$23=Idiomas!$D$922,FA6133,
IF(AND(Home!$K$23&lt;&gt;Idiomas!$D$922,TODAY()&lt;=Horarios!$A$4),FA6133,Idiomas!$D$923))</f>
        <v>Croatia</v>
      </c>
      <c r="EW6133" s="16"/>
      <c r="EX6133" s="16"/>
      <c r="EY6133" s="614"/>
      <c r="EZ6133" s="614" t="s">
        <v>79</v>
      </c>
      <c r="FA6133" s="614" t="s">
        <v>307</v>
      </c>
    </row>
    <row r="6134" spans="151:157" x14ac:dyDescent="0.2">
      <c r="EU6134" s="16" t="str">
        <f ca="1">IF(Home!$K$23=Idiomas!$D$922,EZ6134,
IF(AND(Home!$K$23&lt;&gt;Idiomas!$D$922,TODAY()&lt;=Horarios!$A$4),EZ6134,Idiomas!$D$923))</f>
        <v>Curazao</v>
      </c>
      <c r="EV6134" s="16" t="str">
        <f ca="1">IF(Home!$K$23=Idiomas!$D$922,FA6134,
IF(AND(Home!$K$23&lt;&gt;Idiomas!$D$922,TODAY()&lt;=Horarios!$A$4),FA6134,Idiomas!$D$923))</f>
        <v>Curaçao</v>
      </c>
      <c r="EW6134" s="16"/>
      <c r="EX6134" s="16"/>
      <c r="EY6134" s="614"/>
      <c r="EZ6134" s="614" t="s">
        <v>1404</v>
      </c>
      <c r="FA6134" s="614" t="s">
        <v>1409</v>
      </c>
    </row>
    <row r="6135" spans="151:157" x14ac:dyDescent="0.2">
      <c r="EU6135" s="16" t="str">
        <f ca="1">IF(Home!$K$23=Idiomas!$D$922,EZ6135,
IF(AND(Home!$K$23&lt;&gt;Idiomas!$D$922,TODAY()&lt;=Horarios!$A$4),EZ6135,Idiomas!$D$923))</f>
        <v>Ecuador</v>
      </c>
      <c r="EV6135" s="16" t="str">
        <f ca="1">IF(Home!$K$23=Idiomas!$D$922,FA6135,
IF(AND(Home!$K$23&lt;&gt;Idiomas!$D$922,TODAY()&lt;=Horarios!$A$4),FA6135,Idiomas!$D$923))</f>
        <v>Ecuador</v>
      </c>
      <c r="EW6135" s="16"/>
      <c r="EX6135" s="16"/>
      <c r="EY6135" s="614"/>
      <c r="EZ6135" s="614" t="s">
        <v>1266</v>
      </c>
      <c r="FA6135" s="614" t="s">
        <v>1266</v>
      </c>
    </row>
    <row r="6136" spans="151:157" x14ac:dyDescent="0.2">
      <c r="EU6136" s="16" t="str">
        <f ca="1">IF(Home!$K$23=Idiomas!$D$922,EZ6136,
IF(AND(Home!$K$23&lt;&gt;Idiomas!$D$922,TODAY()&lt;=Horarios!$A$4),EZ6136,Idiomas!$D$923))</f>
        <v>Egipto</v>
      </c>
      <c r="EV6136" s="16" t="str">
        <f ca="1">IF(Home!$K$23=Idiomas!$D$922,FA6136,
IF(AND(Home!$K$23&lt;&gt;Idiomas!$D$922,TODAY()&lt;=Horarios!$A$4),FA6136,Idiomas!$D$923))</f>
        <v>Egypt</v>
      </c>
      <c r="EW6136" s="16"/>
      <c r="EX6136" s="16"/>
      <c r="EY6136" s="614"/>
      <c r="EZ6136" s="614" t="s">
        <v>1392</v>
      </c>
      <c r="FA6136" s="614" t="s">
        <v>1393</v>
      </c>
    </row>
    <row r="6137" spans="151:157" x14ac:dyDescent="0.2">
      <c r="EU6137" s="16" t="str">
        <f ca="1">IF(Home!$K$23=Idiomas!$D$922,EZ6137,
IF(AND(Home!$K$23&lt;&gt;Idiomas!$D$922,TODAY()&lt;=Horarios!$A$4),EZ6137,Idiomas!$D$923))</f>
        <v>Escocia</v>
      </c>
      <c r="EV6137" s="16" t="str">
        <f ca="1">IF(Home!$K$23=Idiomas!$D$922,FA6137,
IF(AND(Home!$K$23&lt;&gt;Idiomas!$D$922,TODAY()&lt;=Horarios!$A$4),FA6137,Idiomas!$D$923))</f>
        <v>Scotland</v>
      </c>
      <c r="EW6137" s="16"/>
      <c r="EX6137" s="16"/>
      <c r="EY6137" s="614"/>
      <c r="EZ6137" s="614" t="s">
        <v>136</v>
      </c>
      <c r="FA6137" s="614" t="s">
        <v>309</v>
      </c>
    </row>
    <row r="6138" spans="151:157" x14ac:dyDescent="0.2">
      <c r="EU6138" s="16" t="str">
        <f ca="1">IF(Home!$K$23=Idiomas!$D$922,EZ6138,
IF(AND(Home!$K$23&lt;&gt;Idiomas!$D$922,TODAY()&lt;=Horarios!$A$4),EZ6138,Idiomas!$D$923))</f>
        <v>España</v>
      </c>
      <c r="EV6138" s="16" t="str">
        <f ca="1">IF(Home!$K$23=Idiomas!$D$922,FA6138,
IF(AND(Home!$K$23&lt;&gt;Idiomas!$D$922,TODAY()&lt;=Horarios!$A$4),FA6138,Idiomas!$D$923))</f>
        <v>Spain</v>
      </c>
      <c r="EW6138" s="16"/>
      <c r="EX6138" s="16"/>
      <c r="EY6138" s="614"/>
      <c r="EZ6138" s="614" t="s">
        <v>40</v>
      </c>
      <c r="FA6138" s="614" t="s">
        <v>306</v>
      </c>
    </row>
    <row r="6139" spans="151:157" x14ac:dyDescent="0.2">
      <c r="EU6139" s="16" t="str">
        <f ca="1">IF(Home!$K$23=Idiomas!$D$922,EZ6139,
IF(AND(Home!$K$23&lt;&gt;Idiomas!$D$922,TODAY()&lt;=Horarios!$A$4),EZ6139,Idiomas!$D$923))</f>
        <v>Estados Unidos</v>
      </c>
      <c r="EV6139" s="16" t="str">
        <f ca="1">IF(Home!$K$23=Idiomas!$D$922,FA6139,
IF(AND(Home!$K$23&lt;&gt;Idiomas!$D$922,TODAY()&lt;=Horarios!$A$4),FA6139,Idiomas!$D$923))</f>
        <v>United States</v>
      </c>
      <c r="EW6139" s="16"/>
      <c r="EX6139" s="16"/>
      <c r="EY6139" s="614"/>
      <c r="EZ6139" s="614" t="s">
        <v>507</v>
      </c>
      <c r="FA6139" s="614" t="s">
        <v>508</v>
      </c>
    </row>
    <row r="6140" spans="151:157" x14ac:dyDescent="0.2">
      <c r="EU6140" s="16" t="str">
        <f ca="1">IF(Home!$K$23=Idiomas!$D$922,EZ6140,
IF(AND(Home!$K$23&lt;&gt;Idiomas!$D$922,TODAY()&lt;=Horarios!$A$4),EZ6140,Idiomas!$D$923))</f>
        <v>Francia</v>
      </c>
      <c r="EV6140" s="16" t="str">
        <f ca="1">IF(Home!$K$23=Idiomas!$D$922,FA6140,
IF(AND(Home!$K$23&lt;&gt;Idiomas!$D$922,TODAY()&lt;=Horarios!$A$4),FA6140,Idiomas!$D$923))</f>
        <v>France</v>
      </c>
      <c r="EW6140" s="16"/>
      <c r="EX6140" s="16"/>
      <c r="EY6140" s="614"/>
      <c r="EZ6140" s="614" t="s">
        <v>75</v>
      </c>
      <c r="FA6140" s="614" t="s">
        <v>305</v>
      </c>
    </row>
    <row r="6141" spans="151:157" x14ac:dyDescent="0.2">
      <c r="EU6141" s="16" t="str">
        <f ca="1">IF(Home!$K$23=Idiomas!$D$922,EZ6141,
IF(AND(Home!$K$23&lt;&gt;Idiomas!$D$922,TODAY()&lt;=Horarios!$A$4),EZ6141,Idiomas!$D$923))</f>
        <v>Ghana</v>
      </c>
      <c r="EV6141" s="16" t="str">
        <f ca="1">IF(Home!$K$23=Idiomas!$D$922,FA6141,
IF(AND(Home!$K$23&lt;&gt;Idiomas!$D$922,TODAY()&lt;=Horarios!$A$4),FA6141,Idiomas!$D$923))</f>
        <v>Ghana</v>
      </c>
      <c r="EW6141" s="16"/>
      <c r="EX6141" s="16"/>
      <c r="EY6141" s="614"/>
      <c r="EZ6141" s="614" t="s">
        <v>1395</v>
      </c>
      <c r="FA6141" s="614" t="s">
        <v>1395</v>
      </c>
    </row>
    <row r="6142" spans="151:157" x14ac:dyDescent="0.2">
      <c r="EU6142" s="16" t="str">
        <f ca="1">IF(Home!$K$23=Idiomas!$D$922,EZ6142,
IF(AND(Home!$K$23&lt;&gt;Idiomas!$D$922,TODAY()&lt;=Horarios!$A$4),EZ6142,Idiomas!$D$923))</f>
        <v>Haití</v>
      </c>
      <c r="EV6142" s="16" t="str">
        <f ca="1">IF(Home!$K$23=Idiomas!$D$922,FA6142,
IF(AND(Home!$K$23&lt;&gt;Idiomas!$D$922,TODAY()&lt;=Horarios!$A$4),FA6142,Idiomas!$D$923))</f>
        <v>Haiti</v>
      </c>
      <c r="EW6142" s="16"/>
      <c r="EX6142" s="16"/>
      <c r="EY6142" s="614"/>
      <c r="EZ6142" s="614" t="s">
        <v>1403</v>
      </c>
      <c r="FA6142" s="614" t="s">
        <v>1407</v>
      </c>
    </row>
    <row r="6143" spans="151:157" x14ac:dyDescent="0.2">
      <c r="EU6143" s="16" t="str">
        <f ca="1">IF(Home!$K$23=Idiomas!$D$922,EZ6143,
IF(AND(Home!$K$23&lt;&gt;Idiomas!$D$922,TODAY()&lt;=Horarios!$A$4),EZ6143,Idiomas!$D$923))</f>
        <v>Inglaterra</v>
      </c>
      <c r="EV6143" s="16" t="str">
        <f ca="1">IF(Home!$K$23=Idiomas!$D$922,FA6143,
IF(AND(Home!$K$23&lt;&gt;Idiomas!$D$922,TODAY()&lt;=Horarios!$A$4),FA6143,Idiomas!$D$923))</f>
        <v>England</v>
      </c>
      <c r="EW6143" s="16"/>
      <c r="EX6143" s="16"/>
      <c r="EY6143" s="614"/>
      <c r="EZ6143" s="614" t="s">
        <v>77</v>
      </c>
      <c r="FA6143" s="614" t="s">
        <v>303</v>
      </c>
    </row>
    <row r="6144" spans="151:157" x14ac:dyDescent="0.2">
      <c r="EU6144" s="16" t="str">
        <f ca="1">IF(Home!$K$23=Idiomas!$D$922,EZ6144,
IF(AND(Home!$K$23&lt;&gt;Idiomas!$D$922,TODAY()&lt;=Horarios!$A$4),EZ6144,Idiomas!$D$923))</f>
        <v>Irán</v>
      </c>
      <c r="EV6144" s="16" t="str">
        <f ca="1">IF(Home!$K$23=Idiomas!$D$922,FA6144,
IF(AND(Home!$K$23&lt;&gt;Idiomas!$D$922,TODAY()&lt;=Horarios!$A$4),FA6144,Idiomas!$D$923))</f>
        <v>Iran</v>
      </c>
      <c r="EW6144" s="16"/>
      <c r="EX6144" s="16"/>
      <c r="EY6144" s="614"/>
      <c r="EZ6144" s="614" t="str">
        <f>N87</f>
        <v>Irán</v>
      </c>
      <c r="FA6144" s="614" t="str">
        <f>O87</f>
        <v>Iran</v>
      </c>
    </row>
    <row r="6145" spans="151:157" x14ac:dyDescent="0.2">
      <c r="EU6145" s="16" t="str">
        <f ca="1">IF(Home!$K$23=Idiomas!$D$922,EZ6145,
IF(AND(Home!$K$23&lt;&gt;Idiomas!$D$922,TODAY()&lt;=Horarios!$A$4),EZ6145,Idiomas!$D$923))</f>
        <v>Japón</v>
      </c>
      <c r="EV6145" s="16" t="str">
        <f ca="1">IF(Home!$K$23=Idiomas!$D$922,FA6145,
IF(AND(Home!$K$23&lt;&gt;Idiomas!$D$922,TODAY()&lt;=Horarios!$A$4),FA6145,Idiomas!$D$923))</f>
        <v>Japan</v>
      </c>
      <c r="EW6145" s="16"/>
      <c r="EX6145" s="16"/>
      <c r="EY6145" s="614"/>
      <c r="EZ6145" s="614" t="s">
        <v>1268</v>
      </c>
      <c r="FA6145" s="614" t="s">
        <v>1289</v>
      </c>
    </row>
    <row r="6146" spans="151:157" x14ac:dyDescent="0.2">
      <c r="EU6146" s="16" t="str">
        <f ca="1">IF(Home!$K$23=Idiomas!$D$922,EZ6146,
IF(AND(Home!$K$23&lt;&gt;Idiomas!$D$922,TODAY()&lt;=Horarios!$A$4),EZ6146,Idiomas!$D$923))</f>
        <v>Jordania</v>
      </c>
      <c r="EV6146" s="16" t="str">
        <f ca="1">IF(Home!$K$23=Idiomas!$D$922,FA6146,
IF(AND(Home!$K$23&lt;&gt;Idiomas!$D$922,TODAY()&lt;=Horarios!$A$4),FA6146,Idiomas!$D$923))</f>
        <v>Jordan</v>
      </c>
      <c r="EW6146" s="16"/>
      <c r="EX6146" s="16"/>
      <c r="EY6146" s="614"/>
      <c r="EZ6146" s="614" t="s">
        <v>1269</v>
      </c>
      <c r="FA6146" s="614" t="s">
        <v>1291</v>
      </c>
    </row>
    <row r="6147" spans="151:157" x14ac:dyDescent="0.2">
      <c r="EU6147" s="16" t="str">
        <f ca="1">IF(Home!$K$23=Idiomas!$D$922,EZ6147,
IF(AND(Home!$K$23&lt;&gt;Idiomas!$D$922,TODAY()&lt;=Horarios!$A$4),EZ6147,Idiomas!$D$923))</f>
        <v>Marruecos</v>
      </c>
      <c r="EV6147" s="16" t="str">
        <f ca="1">IF(Home!$K$23=Idiomas!$D$922,FA6147,
IF(AND(Home!$K$23&lt;&gt;Idiomas!$D$922,TODAY()&lt;=Horarios!$A$4),FA6147,Idiomas!$D$923))</f>
        <v>Morocco</v>
      </c>
      <c r="EW6147" s="16"/>
      <c r="EX6147" s="16"/>
      <c r="EY6147" s="614"/>
      <c r="EZ6147" s="614" t="s">
        <v>1336</v>
      </c>
      <c r="FA6147" s="614" t="s">
        <v>1341</v>
      </c>
    </row>
    <row r="6148" spans="151:157" x14ac:dyDescent="0.2">
      <c r="EU6148" s="16" t="str">
        <f ca="1">IF(Home!$K$23=Idiomas!$D$922,EZ6148,
IF(AND(Home!$K$23&lt;&gt;Idiomas!$D$922,TODAY()&lt;=Horarios!$A$4),EZ6148,Idiomas!$D$923))</f>
        <v>México</v>
      </c>
      <c r="EV6148" s="16" t="str">
        <f ca="1">IF(Home!$K$23=Idiomas!$D$922,FA6148,
IF(AND(Home!$K$23&lt;&gt;Idiomas!$D$922,TODAY()&lt;=Horarios!$A$4),FA6148,Idiomas!$D$923))</f>
        <v>Mexico</v>
      </c>
      <c r="EW6148" s="16"/>
      <c r="EX6148" s="16"/>
      <c r="EY6148" s="614"/>
      <c r="EZ6148" s="614" t="s">
        <v>1270</v>
      </c>
      <c r="FA6148" s="614" t="s">
        <v>1293</v>
      </c>
    </row>
    <row r="6149" spans="151:157" x14ac:dyDescent="0.2">
      <c r="EU6149" s="16" t="str">
        <f ca="1">IF(Home!$K$23=Idiomas!$D$922,EZ6149,
IF(AND(Home!$K$23&lt;&gt;Idiomas!$D$922,TODAY()&lt;=Horarios!$A$4),EZ6149,Idiomas!$D$923))</f>
        <v>Noruega</v>
      </c>
      <c r="EV6149" s="16" t="str">
        <f ca="1">IF(Home!$K$23=Idiomas!$D$922,FA6149,
IF(AND(Home!$K$23&lt;&gt;Idiomas!$D$922,TODAY()&lt;=Horarios!$A$4),FA6149,Idiomas!$D$923))</f>
        <v>Norway</v>
      </c>
      <c r="EW6149" s="16"/>
      <c r="EX6149" s="16"/>
      <c r="EY6149" s="614"/>
      <c r="EZ6149" s="614" t="s">
        <v>137</v>
      </c>
      <c r="FA6149" s="614" t="s">
        <v>310</v>
      </c>
    </row>
    <row r="6150" spans="151:157" x14ac:dyDescent="0.2">
      <c r="EU6150" s="16" t="str">
        <f ca="1">IF(Home!$K$23=Idiomas!$D$922,EZ6150,
IF(AND(Home!$K$23&lt;&gt;Idiomas!$D$922,TODAY()&lt;=Horarios!$A$4),EZ6150,Idiomas!$D$923))</f>
        <v>Nueva Zelanda</v>
      </c>
      <c r="EV6150" s="16" t="str">
        <f ca="1">IF(Home!$K$23=Idiomas!$D$922,FA6150,
IF(AND(Home!$K$23&lt;&gt;Idiomas!$D$922,TODAY()&lt;=Horarios!$A$4),FA6150,Idiomas!$D$923))</f>
        <v>New Zealand</v>
      </c>
      <c r="EW6150" s="16"/>
      <c r="EX6150" s="16"/>
      <c r="EY6150" s="614"/>
      <c r="EZ6150" s="614" t="s">
        <v>1271</v>
      </c>
      <c r="FA6150" s="614" t="s">
        <v>1295</v>
      </c>
    </row>
    <row r="6151" spans="151:157" x14ac:dyDescent="0.2">
      <c r="EU6151" s="16" t="str">
        <f ca="1">IF(Home!$K$23=Idiomas!$D$922,EZ6151,
IF(AND(Home!$K$23&lt;&gt;Idiomas!$D$922,TODAY()&lt;=Horarios!$A$4),EZ6151,Idiomas!$D$923))</f>
        <v>Países Bajos</v>
      </c>
      <c r="EV6151" s="16" t="str">
        <f ca="1">IF(Home!$K$23=Idiomas!$D$922,FA6151,
IF(AND(Home!$K$23&lt;&gt;Idiomas!$D$922,TODAY()&lt;=Horarios!$A$4),FA6151,Idiomas!$D$923))</f>
        <v>Netherlands</v>
      </c>
      <c r="EW6151" s="16"/>
      <c r="EX6151" s="16"/>
      <c r="EY6151" s="614"/>
      <c r="EZ6151" s="614" t="s">
        <v>113</v>
      </c>
      <c r="FA6151" s="614" t="s">
        <v>302</v>
      </c>
    </row>
    <row r="6152" spans="151:157" x14ac:dyDescent="0.2">
      <c r="EU6152" s="16" t="str">
        <f ca="1">IF(Home!$K$23=Idiomas!$D$922,EZ6152,
IF(AND(Home!$K$23&lt;&gt;Idiomas!$D$922,TODAY()&lt;=Horarios!$A$4),EZ6152,Idiomas!$D$923))</f>
        <v>Panamá</v>
      </c>
      <c r="EV6152" s="16" t="str">
        <f ca="1">IF(Home!$K$23=Idiomas!$D$922,FA6152,
IF(AND(Home!$K$23&lt;&gt;Idiomas!$D$922,TODAY()&lt;=Horarios!$A$4),FA6152,Idiomas!$D$923))</f>
        <v>Panama</v>
      </c>
      <c r="EW6152" s="16"/>
      <c r="EX6152" s="16"/>
      <c r="EY6152" s="614"/>
      <c r="EZ6152" s="614" t="s">
        <v>1402</v>
      </c>
      <c r="FA6152" s="614" t="s">
        <v>1405</v>
      </c>
    </row>
    <row r="6153" spans="151:157" x14ac:dyDescent="0.2">
      <c r="EU6153" s="16" t="str">
        <f ca="1">IF(Home!$K$23=Idiomas!$D$922,EZ6153,
IF(AND(Home!$K$23&lt;&gt;Idiomas!$D$922,TODAY()&lt;=Horarios!$A$4),EZ6153,Idiomas!$D$923))</f>
        <v>Paraguay</v>
      </c>
      <c r="EV6153" s="16" t="str">
        <f ca="1">IF(Home!$K$23=Idiomas!$D$922,FA6153,
IF(AND(Home!$K$23&lt;&gt;Idiomas!$D$922,TODAY()&lt;=Horarios!$A$4),FA6153,Idiomas!$D$923))</f>
        <v>Paraguay</v>
      </c>
      <c r="EW6153" s="16"/>
      <c r="EX6153" s="16"/>
      <c r="EY6153" s="614"/>
      <c r="EZ6153" s="614" t="s">
        <v>1334</v>
      </c>
      <c r="FA6153" s="614" t="s">
        <v>1334</v>
      </c>
    </row>
    <row r="6154" spans="151:157" x14ac:dyDescent="0.2">
      <c r="EU6154" s="16" t="str">
        <f ca="1">IF(Home!$K$23=Idiomas!$D$922,EZ6154,
IF(AND(Home!$K$23&lt;&gt;Idiomas!$D$922,TODAY()&lt;=Horarios!$A$4),EZ6154,Idiomas!$D$923))</f>
        <v>Portugal</v>
      </c>
      <c r="EV6154" s="16" t="str">
        <f ca="1">IF(Home!$K$23=Idiomas!$D$922,FA6154,
IF(AND(Home!$K$23&lt;&gt;Idiomas!$D$922,TODAY()&lt;=Horarios!$A$4),FA6154,Idiomas!$D$923))</f>
        <v>Portugal</v>
      </c>
      <c r="EW6154" s="16"/>
      <c r="EX6154" s="16"/>
      <c r="EY6154" s="614"/>
      <c r="EZ6154" s="614" t="s">
        <v>80</v>
      </c>
      <c r="FA6154" s="614" t="s">
        <v>80</v>
      </c>
    </row>
    <row r="6155" spans="151:157" x14ac:dyDescent="0.2">
      <c r="EU6155" s="16" t="str">
        <f ca="1">IF(Home!$K$23=Idiomas!$D$922,EZ6155,
IF(AND(Home!$K$23&lt;&gt;Idiomas!$D$922,TODAY()&lt;=Horarios!$A$4),EZ6155,Idiomas!$D$923))</f>
        <v>Senegal</v>
      </c>
      <c r="EV6155" s="16" t="str">
        <f ca="1">IF(Home!$K$23=Idiomas!$D$922,FA6155,
IF(AND(Home!$K$23&lt;&gt;Idiomas!$D$922,TODAY()&lt;=Horarios!$A$4),FA6155,Idiomas!$D$923))</f>
        <v>Senegal</v>
      </c>
      <c r="EW6155" s="16"/>
      <c r="EX6155" s="16"/>
      <c r="EY6155" s="614"/>
      <c r="EZ6155" s="614" t="s">
        <v>1397</v>
      </c>
      <c r="FA6155" s="614" t="s">
        <v>1397</v>
      </c>
    </row>
    <row r="6156" spans="151:157" x14ac:dyDescent="0.2">
      <c r="EU6156" s="16" t="str">
        <f ca="1">IF(Home!$K$23=Idiomas!$D$922,EZ6156,
IF(AND(Home!$K$23&lt;&gt;Idiomas!$D$922,TODAY()&lt;=Horarios!$A$4),EZ6156,Idiomas!$D$923))</f>
        <v>Sudáfrica</v>
      </c>
      <c r="EV6156" s="16" t="str">
        <f ca="1">IF(Home!$K$23=Idiomas!$D$922,FA6156,
IF(AND(Home!$K$23&lt;&gt;Idiomas!$D$922,TODAY()&lt;=Horarios!$A$4),FA6156,Idiomas!$D$923))</f>
        <v>South Africa</v>
      </c>
      <c r="EW6156" s="16"/>
      <c r="EX6156" s="16"/>
      <c r="EY6156" s="614"/>
      <c r="EZ6156" s="614" t="s">
        <v>1399</v>
      </c>
      <c r="FA6156" s="614" t="s">
        <v>1400</v>
      </c>
    </row>
    <row r="6157" spans="151:157" x14ac:dyDescent="0.2">
      <c r="EU6157" s="16" t="str">
        <f ca="1">IF(Home!$K$23=Idiomas!$D$922,EZ6157,
IF(AND(Home!$K$23&lt;&gt;Idiomas!$D$922,TODAY()&lt;=Horarios!$A$4),EZ6157,Idiomas!$D$923))</f>
        <v>Suiza</v>
      </c>
      <c r="EV6157" s="16" t="str">
        <f ca="1">IF(Home!$K$23=Idiomas!$D$922,FA6157,
IF(AND(Home!$K$23&lt;&gt;Idiomas!$D$922,TODAY()&lt;=Horarios!$A$4),FA6157,Idiomas!$D$923))</f>
        <v>Switzerland</v>
      </c>
      <c r="EW6157" s="16"/>
      <c r="EX6157" s="16"/>
      <c r="EY6157" s="614"/>
      <c r="EZ6157" s="614" t="s">
        <v>76</v>
      </c>
      <c r="FA6157" s="614" t="s">
        <v>301</v>
      </c>
    </row>
    <row r="6158" spans="151:157" x14ac:dyDescent="0.2">
      <c r="EU6158" s="16" t="str">
        <f ca="1">IF(Home!$K$23=Idiomas!$D$922,EZ6158,
IF(AND(Home!$K$23&lt;&gt;Idiomas!$D$922,TODAY()&lt;=Horarios!$A$4),EZ6158,Idiomas!$D$923))</f>
        <v>Túnez</v>
      </c>
      <c r="EV6158" s="16" t="str">
        <f ca="1">IF(Home!$K$23=Idiomas!$D$922,FA6158,
IF(AND(Home!$K$23&lt;&gt;Idiomas!$D$922,TODAY()&lt;=Horarios!$A$4),FA6158,Idiomas!$D$923))</f>
        <v>Tunisia</v>
      </c>
      <c r="EW6158" s="16"/>
      <c r="EX6158" s="16"/>
      <c r="EY6158" s="614"/>
      <c r="EZ6158" s="614" t="s">
        <v>1337</v>
      </c>
      <c r="FA6158" s="614" t="s">
        <v>1343</v>
      </c>
    </row>
    <row r="6159" spans="151:157" x14ac:dyDescent="0.2">
      <c r="EU6159" s="16" t="str">
        <f ca="1">IF(Home!$K$23=Idiomas!$D$922,EZ6159,
IF(AND(Home!$K$23&lt;&gt;Idiomas!$D$922,TODAY()&lt;=Horarios!$A$4),EZ6159,Idiomas!$D$923))</f>
        <v>Uruguay</v>
      </c>
      <c r="EV6159" s="16" t="str">
        <f ca="1">IF(Home!$K$23=Idiomas!$D$922,FA6159,
IF(AND(Home!$K$23&lt;&gt;Idiomas!$D$922,TODAY()&lt;=Horarios!$A$4),FA6159,Idiomas!$D$923))</f>
        <v>Uruguay</v>
      </c>
      <c r="EW6159" s="16"/>
      <c r="EX6159" s="16"/>
      <c r="EY6159" s="614"/>
      <c r="EZ6159" s="614" t="s">
        <v>1333</v>
      </c>
      <c r="FA6159" s="614" t="s">
        <v>1333</v>
      </c>
    </row>
    <row r="6160" spans="151:157" x14ac:dyDescent="0.2">
      <c r="EU6160" s="16" t="str">
        <f ca="1">IF(Home!$K$23=Idiomas!$D$922,EZ6160,
IF(AND(Home!$K$23&lt;&gt;Idiomas!$D$922,TODAY()&lt;=Horarios!$A$4),EZ6160,Idiomas!$D$923))</f>
        <v>Uzbekistán</v>
      </c>
      <c r="EV6160" s="16" t="str">
        <f ca="1">IF(Home!$K$23=Idiomas!$D$922,FA6160,
IF(AND(Home!$K$23&lt;&gt;Idiomas!$D$922,TODAY()&lt;=Horarios!$A$4),FA6160,Idiomas!$D$923))</f>
        <v>Uzbekistan</v>
      </c>
      <c r="EW6160" s="16"/>
      <c r="EX6160" s="16"/>
      <c r="EY6160" s="614"/>
      <c r="EZ6160" s="614" t="s">
        <v>1272</v>
      </c>
      <c r="FA6160" s="614" t="s">
        <v>1297</v>
      </c>
    </row>
    <row r="6161" spans="151:157" x14ac:dyDescent="0.2">
      <c r="EU6161" s="16" t="str">
        <f ca="1">IF(Home!$K$23=Idiomas!$D$922,EZ6161,
IF(AND(Home!$K$23&lt;&gt;Idiomas!$D$922,TODAY()&lt;=Horarios!$A$4),EZ6161,Idiomas!$D$923))</f>
        <v>RD Congo</v>
      </c>
      <c r="EV6161" s="16" t="str">
        <f ca="1">IF(Home!$K$23=Idiomas!$D$922,FA6161,
IF(AND(Home!$K$23&lt;&gt;Idiomas!$D$922,TODAY()&lt;=Horarios!$A$4),FA6161,Idiomas!$D$923))</f>
        <v>DR Congo</v>
      </c>
      <c r="EW6161" s="16"/>
      <c r="EX6161" s="16"/>
      <c r="EY6161" s="16"/>
      <c r="EZ6161" s="16" t="s">
        <v>1510</v>
      </c>
      <c r="FA6161" s="16" t="s">
        <v>1511</v>
      </c>
    </row>
    <row r="6162" spans="151:157" x14ac:dyDescent="0.2">
      <c r="EU6162" s="16" t="str">
        <f ca="1">IF(Home!$K$23=Idiomas!$D$922,EZ6162,
IF(AND(Home!$K$23&lt;&gt;Idiomas!$D$922,TODAY()&lt;=Horarios!$A$4),EZ6162,Idiomas!$D$923))</f>
        <v>Irak</v>
      </c>
      <c r="EV6162" s="16" t="str">
        <f ca="1">IF(Home!$K$23=Idiomas!$D$922,FA6162,
IF(AND(Home!$K$23&lt;&gt;Idiomas!$D$922,TODAY()&lt;=Horarios!$A$4),FA6162,Idiomas!$D$923))</f>
        <v>Iraq</v>
      </c>
      <c r="EW6162" s="16"/>
      <c r="EX6162" s="16"/>
      <c r="EY6162" s="16"/>
      <c r="EZ6162" s="16" t="s">
        <v>1460</v>
      </c>
      <c r="FA6162" s="16" t="s">
        <v>1461</v>
      </c>
    </row>
    <row r="6163" spans="151:157" x14ac:dyDescent="0.2">
      <c r="EU6163" s="16" t="str">
        <f ca="1">IF(Home!$K$23=Idiomas!$D$922,EZ6163,
IF(AND(Home!$K$23&lt;&gt;Idiomas!$D$922,TODAY()&lt;=Horarios!$A$4),EZ6163,Idiomas!$D$923))</f>
        <v>Bosnia y Herzegovina</v>
      </c>
      <c r="EV6163" s="16" t="str">
        <f ca="1">IF(Home!$K$23=Idiomas!$D$922,FA6163,
IF(AND(Home!$K$23&lt;&gt;Idiomas!$D$922,TODAY()&lt;=Horarios!$A$4),FA6163,Idiomas!$D$923))</f>
        <v>Bosnia and Herzegovina</v>
      </c>
      <c r="EW6163" s="16"/>
      <c r="EX6163" s="16"/>
      <c r="EY6163" s="16"/>
      <c r="EZ6163" s="16" t="s">
        <v>1504</v>
      </c>
      <c r="FA6163" s="16" t="s">
        <v>1505</v>
      </c>
    </row>
    <row r="6164" spans="151:157" x14ac:dyDescent="0.2">
      <c r="EU6164" s="16" t="str">
        <f ca="1">IF(Home!$K$23=Idiomas!$D$922,EZ6164,
IF(AND(Home!$K$23&lt;&gt;Idiomas!$D$922,TODAY()&lt;=Horarios!$A$4),EZ6164,Idiomas!$D$923))</f>
        <v>Suecia</v>
      </c>
      <c r="EV6164" s="16" t="str">
        <f ca="1">IF(Home!$K$23=Idiomas!$D$922,FA6164,
IF(AND(Home!$K$23&lt;&gt;Idiomas!$D$922,TODAY()&lt;=Horarios!$A$4),FA6164,Idiomas!$D$923))</f>
        <v>Sweden</v>
      </c>
      <c r="EW6164" s="16"/>
      <c r="EX6164" s="16"/>
      <c r="EY6164" s="16"/>
      <c r="EZ6164" s="16" t="s">
        <v>1498</v>
      </c>
      <c r="FA6164" s="16" t="s">
        <v>1499</v>
      </c>
    </row>
    <row r="6165" spans="151:157" x14ac:dyDescent="0.2">
      <c r="EU6165" s="16" t="str">
        <f ca="1">IF(Home!$K$23=Idiomas!$D$922,EZ6165,
IF(AND(Home!$K$23&lt;&gt;Idiomas!$D$922,TODAY()&lt;=Horarios!$A$4),EZ6165,Idiomas!$D$923))</f>
        <v>Turquía</v>
      </c>
      <c r="EV6165" s="16" t="str">
        <f ca="1">IF(Home!$K$23=Idiomas!$D$922,FA6165,
IF(AND(Home!$K$23&lt;&gt;Idiomas!$D$922,TODAY()&lt;=Horarios!$A$4),FA6165,Idiomas!$D$923))</f>
        <v>Turkey</v>
      </c>
      <c r="EW6165" s="16"/>
      <c r="EX6165" s="16"/>
      <c r="EY6165" s="16"/>
      <c r="EZ6165" s="16" t="s">
        <v>1501</v>
      </c>
      <c r="FA6165" s="16" t="s">
        <v>1502</v>
      </c>
    </row>
    <row r="6166" spans="151:157" x14ac:dyDescent="0.2">
      <c r="EU6166" s="16" t="str">
        <f ca="1">IF(Home!$K$23=Idiomas!$D$922,EZ6166,
IF(AND(Home!$K$23&lt;&gt;Idiomas!$D$922,TODAY()&lt;=Horarios!$A$4),EZ6166,Idiomas!$D$923))</f>
        <v>República Checa</v>
      </c>
      <c r="EV6166" s="16" t="str">
        <f ca="1">IF(Home!$K$23=Idiomas!$D$922,FA6166,
IF(AND(Home!$K$23&lt;&gt;Idiomas!$D$922,TODAY()&lt;=Horarios!$A$4),FA6166,Idiomas!$D$923))</f>
        <v>Czech Republic</v>
      </c>
      <c r="EW6166" s="16"/>
      <c r="EX6166" s="16"/>
      <c r="EY6166" s="16"/>
      <c r="EZ6166" s="16" t="s">
        <v>1507</v>
      </c>
      <c r="FA6166" s="16" t="s">
        <v>1508</v>
      </c>
    </row>
  </sheetData>
  <sheetProtection algorithmName="SHA-512" hashValue="ZxQqUPIodaHNuQY1WWCHhgaSYV6GH6dwkumKG/ytjhPnB2c85ven/jpGF32H1Kjv7sdInuJaMdVHGVz/cp2pAw==" saltValue="deTvPoksMFYk4kpYg//cLA==" spinCount="100000" sheet="1" objects="1" scenarios="1"/>
  <mergeCells count="3">
    <mergeCell ref="B3:J12"/>
    <mergeCell ref="B34:J34"/>
    <mergeCell ref="M84:R84"/>
  </mergeCells>
  <conditionalFormatting sqref="E19">
    <cfRule type="iconSet" priority="5">
      <iconSet iconSet="3Symbols2" showValue="0">
        <cfvo type="percent" val="0"/>
        <cfvo type="percent" val="33"/>
        <cfvo type="percent" val="67"/>
      </iconSet>
    </cfRule>
  </conditionalFormatting>
  <conditionalFormatting sqref="E21 E23 E25 E27 E29 E31 G31 G29 G27 G25 G23 G21">
    <cfRule type="iconSet" priority="914">
      <iconSet iconSet="3Symbols2" showValue="0">
        <cfvo type="percent" val="0"/>
        <cfvo type="num" val="1"/>
        <cfvo type="num" val="2"/>
      </iconSet>
    </cfRule>
  </conditionalFormatting>
  <conditionalFormatting sqref="M86">
    <cfRule type="expression" dxfId="3" priority="1">
      <formula>$J$18=1</formula>
    </cfRule>
  </conditionalFormatting>
  <conditionalFormatting sqref="M84:R84 M87">
    <cfRule type="expression" dxfId="2" priority="2">
      <formula>$J$18=1</formula>
    </cfRule>
  </conditionalFormatting>
  <conditionalFormatting sqref="N92:R93">
    <cfRule type="expression" dxfId="1" priority="943">
      <formula>IF($M$87=$T$91,1,0)</formula>
    </cfRule>
  </conditionalFormatting>
  <dataValidations count="1">
    <dataValidation type="list" allowBlank="1" showInputMessage="1" showErrorMessage="1" sqref="M87" xr:uid="{CF875A35-806D-6E46-AF1A-108AB77E7B71}">
      <formula1>$T$87:$T$91</formula1>
    </dataValidation>
  </dataValidations>
  <hyperlinks>
    <hyperlink ref="C15" r:id="rId1" xr:uid="{05AB4A6F-C4B4-A740-87ED-336F6C10C792}"/>
    <hyperlink ref="E25" r:id="rId2" display="https://matejero.es/calendario-excel-liga/" xr:uid="{7D8B1963-F364-FE42-900B-13AAC79AD5A2}"/>
    <hyperlink ref="E27" r:id="rId3" location="Descarga_el_Calendario_2a_Division_Liga_23_24_Excel" display="https://matejero.es/calendario-excel-liga/ - Descarga_el_Calendario_2a_Division_Liga_23_24_Excel" xr:uid="{4F22A8BC-F63A-FA4F-8F51-9316B6627C0C}"/>
    <hyperlink ref="G29" r:id="rId4" display="https://matejero.com/premier-league-excel-schedule/" xr:uid="{46677136-B3E1-0E4A-BFE9-972C4DE3628C}"/>
    <hyperlink ref="E31" r:id="rId5" display="https://matejero.es/excel-copa-libertadores/" xr:uid="{9FF93F3C-59DF-5048-80D7-77D6CEF796D8}"/>
    <hyperlink ref="G21" r:id="rId6" display="https://matejero.com/download/admin-world-cup-2026/" xr:uid="{022813E0-C0D4-AB40-8F4A-7080B824E403}"/>
    <hyperlink ref="E21" r:id="rId7" display="https://matejero.es/download/administrador-excel-mundial-2026/" xr:uid="{9456F39B-9B82-AE44-9098-3B18F0D80EB7}"/>
    <hyperlink ref="G23" r:id="rId8" display="https://matejero.com/excel-champions-league/" xr:uid="{B178DE6F-690D-E54E-A9E6-036280B2E80C}"/>
    <hyperlink ref="E23" r:id="rId9" display="https://matejero.es/excel-champions-league/" xr:uid="{9F014EF9-3AD7-7A4A-A904-6E4ABD3CB6E5}"/>
    <hyperlink ref="E15" r:id="rId10" xr:uid="{2F8DAD6A-C8CB-F04D-AB01-61BD349AD7B8}"/>
    <hyperlink ref="G15" r:id="rId11" xr:uid="{87D79B72-F65F-1F48-A1FC-801E86920030}"/>
    <hyperlink ref="L34" r:id="rId12" xr:uid="{E9943847-51A8-5645-B016-523DF8C9483D}"/>
  </hyperlinks>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99B6CC12-1925-F940-9E0D-D90EE533F128}">
          <x14:formula1>
            <xm:f>Horarios!$AC$51:$AC$86</xm:f>
          </x14:formula1>
          <xm:sqref>P93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5"/>
  <dimension ref="A1:MAL49"/>
  <sheetViews>
    <sheetView showGridLines="0" showRowColHeaders="0" topLeftCell="BY959" zoomScaleNormal="100" zoomScalePageLayoutView="75" workbookViewId="0">
      <selection activeCell="BY959" sqref="BY959"/>
    </sheetView>
  </sheetViews>
  <sheetFormatPr baseColWidth="10" defaultColWidth="20.5" defaultRowHeight="15" customHeight="1" x14ac:dyDescent="0.2"/>
  <cols>
    <col min="1" max="1" width="6.83203125" style="6" bestFit="1" customWidth="1"/>
    <col min="2" max="2" width="16.83203125" style="6" customWidth="1"/>
    <col min="3" max="3" width="11.5" style="6" customWidth="1"/>
    <col min="4" max="4" width="8.83203125" style="6" bestFit="1" customWidth="1"/>
    <col min="5" max="5" width="11.33203125" style="6" customWidth="1"/>
    <col min="6" max="6" width="15.33203125" style="6" customWidth="1"/>
    <col min="7" max="7" width="4.1640625" style="6" bestFit="1" customWidth="1"/>
    <col min="8" max="8" width="20.5" style="6"/>
    <col min="9" max="9" width="13" style="6" customWidth="1"/>
    <col min="10" max="10" width="12" style="6" customWidth="1"/>
    <col min="11" max="11" width="20.5" style="6"/>
    <col min="12" max="13" width="0" style="6" hidden="1" customWidth="1"/>
    <col min="14" max="14" width="4.5" style="616" customWidth="1"/>
    <col min="15" max="16384" width="20.5" style="617"/>
  </cols>
  <sheetData>
    <row r="1" spans="1:18 8826:8826" ht="15" customHeight="1" x14ac:dyDescent="0.2">
      <c r="A1" s="409" t="s">
        <v>379</v>
      </c>
      <c r="B1" s="409" t="s">
        <v>32</v>
      </c>
      <c r="C1" s="409" t="s">
        <v>73</v>
      </c>
      <c r="D1" s="409" t="s">
        <v>11</v>
      </c>
      <c r="E1" s="9"/>
      <c r="F1" s="9" t="s">
        <v>35</v>
      </c>
      <c r="G1" s="9"/>
      <c r="H1" s="409"/>
      <c r="I1" s="409"/>
      <c r="J1" s="9"/>
      <c r="K1" s="9" t="s">
        <v>70</v>
      </c>
      <c r="L1" s="9" t="s">
        <v>1358</v>
      </c>
      <c r="M1" s="9"/>
    </row>
    <row r="2" spans="1:18 8826:8826" ht="15" customHeight="1" x14ac:dyDescent="0.2">
      <c r="A2" s="9">
        <v>1</v>
      </c>
      <c r="B2" s="9" t="str">
        <f ca="1">+INDEX(Idiomas!$D$202:$D$249,MATCH(T_Equipos[[#This Row],[Num]],Idiomas!$C$202:$C$249,0))</f>
        <v>Mexico</v>
      </c>
      <c r="C2" s="9" t="s">
        <v>0</v>
      </c>
      <c r="D2" s="9">
        <v>1</v>
      </c>
      <c r="E2" s="9"/>
      <c r="F2" s="9" t="s">
        <v>0</v>
      </c>
      <c r="G2" s="9"/>
      <c r="H2" s="9"/>
      <c r="I2" s="9"/>
      <c r="J2" s="9"/>
      <c r="K2" s="9" t="str">
        <f ca="1">Idiomas!D202</f>
        <v>Germany</v>
      </c>
      <c r="L2" s="9" t="s">
        <v>146</v>
      </c>
      <c r="M2" s="9" t="e" vm="5">
        <v>#VALUE!</v>
      </c>
      <c r="MAL2" s="617" t="s">
        <v>15</v>
      </c>
    </row>
    <row r="3" spans="1:18 8826:8826" ht="15" customHeight="1" x14ac:dyDescent="0.2">
      <c r="A3" s="9">
        <v>2</v>
      </c>
      <c r="B3" s="9" t="str">
        <f ca="1">+INDEX(Idiomas!$D$202:$D$249,MATCH(T_Equipos[[#This Row],[Num]],Idiomas!$C$202:$C$249,0))</f>
        <v>South Africa</v>
      </c>
      <c r="C3" s="9" t="s">
        <v>0</v>
      </c>
      <c r="D3" s="9">
        <v>2</v>
      </c>
      <c r="E3" s="9"/>
      <c r="F3" s="9" t="s">
        <v>1</v>
      </c>
      <c r="G3" s="9"/>
      <c r="H3" s="9"/>
      <c r="I3" s="9"/>
      <c r="J3" s="9"/>
      <c r="K3" s="9" t="str">
        <f ca="1">Idiomas!D203</f>
        <v>Saudi Arabia</v>
      </c>
      <c r="L3" s="9" t="s">
        <v>1379</v>
      </c>
      <c r="M3" s="9" t="e" vm="6">
        <v>#VALUE!</v>
      </c>
    </row>
    <row r="4" spans="1:18 8826:8826" ht="15" customHeight="1" x14ac:dyDescent="0.2">
      <c r="A4" s="9">
        <v>3</v>
      </c>
      <c r="B4" s="9" t="str">
        <f ca="1">+INDEX(Idiomas!$D$202:$D$249,MATCH(T_Equipos[[#This Row],[Num]],Idiomas!$C$202:$C$249,0))</f>
        <v>South Korea</v>
      </c>
      <c r="C4" s="9" t="s">
        <v>0</v>
      </c>
      <c r="D4" s="9">
        <v>3</v>
      </c>
      <c r="E4" s="9"/>
      <c r="F4" s="9" t="s">
        <v>2</v>
      </c>
      <c r="G4" s="9"/>
      <c r="H4" s="9"/>
      <c r="I4" s="9"/>
      <c r="J4" s="9"/>
      <c r="K4" s="9" t="str">
        <f ca="1">Idiomas!D204</f>
        <v>Algeria</v>
      </c>
      <c r="L4" s="9" t="s">
        <v>1382</v>
      </c>
      <c r="M4" s="9" t="e" vm="7">
        <v>#VALUE!</v>
      </c>
    </row>
    <row r="5" spans="1:18 8826:8826" ht="15" customHeight="1" x14ac:dyDescent="0.2">
      <c r="A5" s="9">
        <v>4</v>
      </c>
      <c r="B5" s="9" t="str">
        <f ca="1">+INDEX(Idiomas!$D$202:$D$249,MATCH(T_Equipos[[#This Row],[Num]],Idiomas!$C$202:$C$249,0))</f>
        <v>Czech Republic</v>
      </c>
      <c r="C5" s="9" t="s">
        <v>0</v>
      </c>
      <c r="D5" s="9">
        <v>4</v>
      </c>
      <c r="E5" s="9"/>
      <c r="F5" s="9" t="s">
        <v>74</v>
      </c>
      <c r="G5" s="9"/>
      <c r="H5" s="9"/>
      <c r="I5" s="9"/>
      <c r="J5" s="9"/>
      <c r="K5" s="9" t="str">
        <f ca="1">Idiomas!D205</f>
        <v>Argentina</v>
      </c>
      <c r="L5" s="9" t="s">
        <v>1277</v>
      </c>
      <c r="M5" s="9" t="e" vm="8">
        <v>#VALUE!</v>
      </c>
    </row>
    <row r="6" spans="1:18 8826:8826" ht="15" customHeight="1" x14ac:dyDescent="0.2">
      <c r="A6" s="9">
        <v>5</v>
      </c>
      <c r="B6" s="9" t="str">
        <f ca="1">+INDEX(Idiomas!$D$202:$D$249,MATCH(T_Equipos[[#This Row],[Num]],Idiomas!$C$202:$C$249,0))</f>
        <v>Canada</v>
      </c>
      <c r="C6" s="9" t="s">
        <v>1</v>
      </c>
      <c r="D6" s="9">
        <v>1</v>
      </c>
      <c r="E6" s="9"/>
      <c r="F6" s="9" t="s">
        <v>3</v>
      </c>
      <c r="G6" s="9"/>
      <c r="H6" s="9"/>
      <c r="I6" s="9"/>
      <c r="J6" s="9"/>
      <c r="K6" s="9" t="str">
        <f ca="1">Idiomas!D206</f>
        <v>Australia</v>
      </c>
      <c r="L6" s="9" t="s">
        <v>1278</v>
      </c>
      <c r="M6" s="9" t="e" vm="9">
        <v>#VALUE!</v>
      </c>
    </row>
    <row r="7" spans="1:18 8826:8826" ht="15" customHeight="1" x14ac:dyDescent="0.2">
      <c r="A7" s="9">
        <v>6</v>
      </c>
      <c r="B7" s="9" t="str">
        <f ca="1">+INDEX(Idiomas!$D$202:$D$249,MATCH(T_Equipos[[#This Row],[Num]],Idiomas!$C$202:$C$249,0))</f>
        <v>Bosnia and Herzegovina</v>
      </c>
      <c r="C7" s="9" t="s">
        <v>1</v>
      </c>
      <c r="D7" s="9">
        <v>2</v>
      </c>
      <c r="E7" s="9"/>
      <c r="F7" s="9" t="s">
        <v>4</v>
      </c>
      <c r="G7" s="9"/>
      <c r="H7" s="9"/>
      <c r="I7" s="9"/>
      <c r="J7" s="9"/>
      <c r="K7" s="9" t="str">
        <f ca="1">Idiomas!D207</f>
        <v>Austria</v>
      </c>
      <c r="L7" s="618" t="s">
        <v>147</v>
      </c>
      <c r="M7" s="618" t="e" vm="10">
        <v>#VALUE!</v>
      </c>
    </row>
    <row r="8" spans="1:18 8826:8826" ht="15" customHeight="1" x14ac:dyDescent="0.2">
      <c r="A8" s="9">
        <v>7</v>
      </c>
      <c r="B8" s="9" t="str">
        <f ca="1">+INDEX(Idiomas!$D$202:$D$249,MATCH(T_Equipos[[#This Row],[Num]],Idiomas!$C$202:$C$249,0))</f>
        <v>Qatar</v>
      </c>
      <c r="C8" s="9" t="s">
        <v>1</v>
      </c>
      <c r="D8" s="9">
        <v>3</v>
      </c>
      <c r="E8" s="9"/>
      <c r="F8" s="9" t="s">
        <v>6</v>
      </c>
      <c r="G8" s="9"/>
      <c r="H8" s="9"/>
      <c r="I8" s="9"/>
      <c r="J8" s="9"/>
      <c r="K8" s="9" t="str">
        <f ca="1">Idiomas!D208</f>
        <v>Belgium</v>
      </c>
      <c r="L8" s="9" t="s">
        <v>142</v>
      </c>
      <c r="M8" s="9" t="e" vm="11">
        <v>#VALUE!</v>
      </c>
    </row>
    <row r="9" spans="1:18 8826:8826" ht="15" customHeight="1" x14ac:dyDescent="0.2">
      <c r="A9" s="9">
        <v>8</v>
      </c>
      <c r="B9" s="9" t="str">
        <f ca="1">+INDEX(Idiomas!$D$202:$D$249,MATCH(T_Equipos[[#This Row],[Num]],Idiomas!$C$202:$C$249,0))</f>
        <v>Switzerland</v>
      </c>
      <c r="C9" s="9" t="s">
        <v>1</v>
      </c>
      <c r="D9" s="9">
        <v>4</v>
      </c>
      <c r="E9" s="9"/>
      <c r="F9" s="9" t="s">
        <v>447</v>
      </c>
      <c r="G9" s="9"/>
      <c r="H9" s="9"/>
      <c r="I9" s="9"/>
      <c r="J9" s="9"/>
      <c r="K9" s="9" t="str">
        <f ca="1">Idiomas!D209</f>
        <v>Brazil</v>
      </c>
      <c r="L9" s="9" t="s">
        <v>1280</v>
      </c>
      <c r="M9" s="9" t="e" vm="12">
        <v>#VALUE!</v>
      </c>
    </row>
    <row r="10" spans="1:18 8826:8826" ht="15" customHeight="1" x14ac:dyDescent="0.2">
      <c r="A10" s="9">
        <v>9</v>
      </c>
      <c r="B10" s="9" t="str">
        <f ca="1">+INDEX(Idiomas!$D$202:$D$249,MATCH(T_Equipos[[#This Row],[Num]],Idiomas!$C$202:$C$249,0))</f>
        <v>Brazil</v>
      </c>
      <c r="C10" s="9" t="s">
        <v>2</v>
      </c>
      <c r="D10" s="9">
        <v>1</v>
      </c>
      <c r="E10" s="9"/>
      <c r="F10" s="9" t="s">
        <v>448</v>
      </c>
      <c r="G10" s="9"/>
      <c r="H10" s="9"/>
      <c r="I10" s="9"/>
      <c r="J10" s="9"/>
      <c r="K10" s="9" t="str">
        <f ca="1">Idiomas!D210</f>
        <v>Cape Verde</v>
      </c>
      <c r="L10" s="9" t="s">
        <v>1385</v>
      </c>
      <c r="M10" s="9" t="e" vm="13">
        <v>#VALUE!</v>
      </c>
    </row>
    <row r="11" spans="1:18 8826:8826" ht="15" customHeight="1" x14ac:dyDescent="0.2">
      <c r="A11" s="9">
        <v>10</v>
      </c>
      <c r="B11" s="9" t="str">
        <f ca="1">+INDEX(Idiomas!$D$202:$D$249,MATCH(T_Equipos[[#This Row],[Num]],Idiomas!$C$202:$C$249,0))</f>
        <v>Morocco</v>
      </c>
      <c r="C11" s="9" t="s">
        <v>2</v>
      </c>
      <c r="D11" s="9">
        <v>2</v>
      </c>
      <c r="E11" s="9"/>
      <c r="F11" s="9" t="s">
        <v>5</v>
      </c>
      <c r="G11" s="9"/>
      <c r="H11" s="9"/>
      <c r="I11" s="9"/>
      <c r="J11" s="9"/>
      <c r="K11" s="9" t="str">
        <f ca="1">Idiomas!D211</f>
        <v>Canada</v>
      </c>
      <c r="L11" s="9" t="s">
        <v>1282</v>
      </c>
      <c r="M11" s="9" t="e" vm="14">
        <v>#VALUE!</v>
      </c>
    </row>
    <row r="12" spans="1:18 8826:8826" ht="15" customHeight="1" x14ac:dyDescent="0.2">
      <c r="A12" s="9">
        <v>11</v>
      </c>
      <c r="B12" s="9" t="str">
        <f ca="1">+INDEX(Idiomas!$D$202:$D$249,MATCH(T_Equipos[[#This Row],[Num]],Idiomas!$C$202:$C$249,0))</f>
        <v>Haiti</v>
      </c>
      <c r="C12" s="9" t="s">
        <v>2</v>
      </c>
      <c r="D12" s="9">
        <v>3</v>
      </c>
      <c r="E12" s="9"/>
      <c r="F12" s="9" t="s">
        <v>449</v>
      </c>
      <c r="G12" s="9"/>
      <c r="H12" s="9"/>
      <c r="I12" s="9"/>
      <c r="J12" s="9"/>
      <c r="K12" s="9" t="str">
        <f ca="1">Idiomas!D212</f>
        <v>Qatar</v>
      </c>
      <c r="L12" s="9" t="s">
        <v>1388</v>
      </c>
      <c r="M12" s="9" t="e" vm="15">
        <v>#VALUE!</v>
      </c>
    </row>
    <row r="13" spans="1:18 8826:8826" ht="15" customHeight="1" x14ac:dyDescent="0.2">
      <c r="A13" s="9">
        <v>12</v>
      </c>
      <c r="B13" s="9" t="str">
        <f ca="1">+INDEX(Idiomas!$D$202:$D$249,MATCH(T_Equipos[[#This Row],[Num]],Idiomas!$C$202:$C$249,0))</f>
        <v>Scotland</v>
      </c>
      <c r="C13" s="9" t="s">
        <v>2</v>
      </c>
      <c r="D13" s="9">
        <v>4</v>
      </c>
      <c r="E13" s="9"/>
      <c r="F13" s="9" t="s">
        <v>247</v>
      </c>
      <c r="G13" s="9"/>
      <c r="H13" s="9"/>
      <c r="I13" s="9"/>
      <c r="J13" s="9"/>
      <c r="K13" s="9" t="str">
        <f ca="1">Idiomas!D213</f>
        <v>Colombia</v>
      </c>
      <c r="L13" s="9" t="s">
        <v>1340</v>
      </c>
      <c r="M13" s="9" t="e" vm="16">
        <v>#VALUE!</v>
      </c>
    </row>
    <row r="14" spans="1:18 8826:8826" ht="15" customHeight="1" x14ac:dyDescent="0.2">
      <c r="A14" s="9">
        <v>13</v>
      </c>
      <c r="B14" s="9" t="str">
        <f ca="1">+INDEX(Idiomas!$D$202:$D$249,MATCH(T_Equipos[[#This Row],[Num]],Idiomas!$C$202:$C$249,0))</f>
        <v>United States</v>
      </c>
      <c r="C14" s="9" t="s">
        <v>74</v>
      </c>
      <c r="D14" s="9">
        <v>1</v>
      </c>
      <c r="E14" s="9"/>
      <c r="F14" s="9"/>
      <c r="G14" s="9"/>
      <c r="H14" s="9"/>
      <c r="I14" s="9"/>
      <c r="J14" s="9"/>
      <c r="K14" s="9" t="str">
        <f ca="1">Idiomas!D214</f>
        <v>South Korea</v>
      </c>
      <c r="L14" s="9" t="s">
        <v>1284</v>
      </c>
      <c r="M14" s="9" t="e" vm="17">
        <v>#VALUE!</v>
      </c>
    </row>
    <row r="15" spans="1:18 8826:8826" ht="15" customHeight="1" x14ac:dyDescent="0.2">
      <c r="A15" s="9">
        <v>14</v>
      </c>
      <c r="B15" s="9" t="str">
        <f ca="1">+INDEX(Idiomas!$D$202:$D$249,MATCH(T_Equipos[[#This Row],[Num]],Idiomas!$C$202:$C$249,0))</f>
        <v>Paraguay</v>
      </c>
      <c r="C15" s="9" t="s">
        <v>74</v>
      </c>
      <c r="D15" s="9">
        <v>2</v>
      </c>
      <c r="E15" s="9"/>
      <c r="F15" s="9"/>
      <c r="G15" s="9"/>
      <c r="H15" s="9"/>
      <c r="I15" s="9"/>
      <c r="J15" s="9"/>
      <c r="K15" s="9" t="str">
        <f ca="1">Idiomas!D215</f>
        <v>Ivory Coast</v>
      </c>
      <c r="L15" s="9" t="s">
        <v>1391</v>
      </c>
      <c r="M15" s="9" t="e" vm="18">
        <v>#VALUE!</v>
      </c>
      <c r="P15" s="619"/>
      <c r="Q15" s="619"/>
      <c r="R15" s="619"/>
    </row>
    <row r="16" spans="1:18 8826:8826" ht="15" customHeight="1" x14ac:dyDescent="0.2">
      <c r="A16" s="9">
        <v>15</v>
      </c>
      <c r="B16" s="9" t="str">
        <f ca="1">+INDEX(Idiomas!$D$202:$D$249,MATCH(T_Equipos[[#This Row],[Num]],Idiomas!$C$202:$C$249,0))</f>
        <v>Australia</v>
      </c>
      <c r="C16" s="9" t="s">
        <v>74</v>
      </c>
      <c r="D16" s="9">
        <v>3</v>
      </c>
      <c r="E16" s="9"/>
      <c r="F16" s="9"/>
      <c r="G16" s="9"/>
      <c r="H16" s="9"/>
      <c r="I16" s="9"/>
      <c r="J16" s="9"/>
      <c r="K16" s="9" t="str">
        <f ca="1">Idiomas!D216</f>
        <v>Croatia</v>
      </c>
      <c r="L16" s="9" t="s">
        <v>145</v>
      </c>
      <c r="M16" s="9" t="e" vm="19">
        <v>#VALUE!</v>
      </c>
    </row>
    <row r="17" spans="1:331 8826:8826" ht="15" customHeight="1" x14ac:dyDescent="0.2">
      <c r="A17" s="9">
        <v>16</v>
      </c>
      <c r="B17" s="9" t="str">
        <f ca="1">+INDEX(Idiomas!$D$202:$D$249,MATCH(T_Equipos[[#This Row],[Num]],Idiomas!$C$202:$C$249,0))</f>
        <v>Turkey</v>
      </c>
      <c r="C17" s="9" t="s">
        <v>74</v>
      </c>
      <c r="D17" s="9">
        <v>4</v>
      </c>
      <c r="E17" s="9"/>
      <c r="F17" s="9"/>
      <c r="G17" s="9"/>
      <c r="H17" s="9"/>
      <c r="I17" s="9"/>
      <c r="J17" s="9"/>
      <c r="K17" s="9" t="str">
        <f ca="1">Idiomas!D217</f>
        <v>Curaçao</v>
      </c>
      <c r="L17" s="9" t="s">
        <v>1410</v>
      </c>
      <c r="M17" s="9" t="e" vm="20">
        <v>#VALUE!</v>
      </c>
    </row>
    <row r="18" spans="1:331 8826:8826" ht="15" customHeight="1" x14ac:dyDescent="0.2">
      <c r="A18" s="9">
        <v>17</v>
      </c>
      <c r="B18" s="9" t="str">
        <f ca="1">+INDEX(Idiomas!$D$202:$D$249,MATCH(T_Equipos[[#This Row],[Num]],Idiomas!$C$202:$C$249,0))</f>
        <v>Germany</v>
      </c>
      <c r="C18" s="9" t="s">
        <v>3</v>
      </c>
      <c r="D18" s="9">
        <v>1</v>
      </c>
      <c r="E18" s="9"/>
      <c r="F18" s="9"/>
      <c r="G18" s="9"/>
      <c r="H18" s="9"/>
      <c r="I18" s="9"/>
      <c r="J18" s="9"/>
      <c r="K18" s="9" t="str">
        <f ca="1">Idiomas!D218</f>
        <v>Ecuador</v>
      </c>
      <c r="L18" s="9" t="s">
        <v>1285</v>
      </c>
      <c r="M18" s="9" t="e" vm="21">
        <v>#VALUE!</v>
      </c>
    </row>
    <row r="19" spans="1:331 8826:8826" ht="15" customHeight="1" x14ac:dyDescent="0.2">
      <c r="A19" s="9">
        <v>18</v>
      </c>
      <c r="B19" s="9" t="str">
        <f ca="1">+INDEX(Idiomas!$D$202:$D$249,MATCH(T_Equipos[[#This Row],[Num]],Idiomas!$C$202:$C$249,0))</f>
        <v>Curaçao</v>
      </c>
      <c r="C19" s="9" t="s">
        <v>3</v>
      </c>
      <c r="D19" s="9">
        <v>2</v>
      </c>
      <c r="E19" s="9"/>
      <c r="F19" s="9"/>
      <c r="G19" s="9"/>
      <c r="H19" s="9"/>
      <c r="I19" s="9"/>
      <c r="J19" s="9"/>
      <c r="K19" s="9" t="str">
        <f ca="1">Idiomas!D219</f>
        <v>Egypt</v>
      </c>
      <c r="L19" s="9" t="s">
        <v>1394</v>
      </c>
      <c r="M19" s="9" t="e" vm="22">
        <v>#VALUE!</v>
      </c>
    </row>
    <row r="20" spans="1:331 8826:8826" ht="15" customHeight="1" x14ac:dyDescent="0.2">
      <c r="A20" s="9">
        <v>19</v>
      </c>
      <c r="B20" s="9" t="str">
        <f ca="1">+INDEX(Idiomas!$D$202:$D$249,MATCH(T_Equipos[[#This Row],[Num]],Idiomas!$C$202:$C$249,0))</f>
        <v>Ivory Coast</v>
      </c>
      <c r="C20" s="9" t="s">
        <v>3</v>
      </c>
      <c r="D20" s="9">
        <v>3</v>
      </c>
      <c r="E20" s="9"/>
      <c r="F20" s="9"/>
      <c r="G20" s="9"/>
      <c r="H20" s="9"/>
      <c r="I20" s="9"/>
      <c r="J20" s="9"/>
      <c r="K20" s="9" t="str">
        <f ca="1">Idiomas!D220</f>
        <v>Scotland</v>
      </c>
      <c r="L20" s="9" t="s">
        <v>148</v>
      </c>
      <c r="M20" s="9" t="e" vm="23">
        <v>#VALUE!</v>
      </c>
    </row>
    <row r="21" spans="1:331 8826:8826" ht="15" customHeight="1" x14ac:dyDescent="0.2">
      <c r="A21" s="9">
        <v>20</v>
      </c>
      <c r="B21" s="9" t="str">
        <f ca="1">+INDEX(Idiomas!$D$202:$D$249,MATCH(T_Equipos[[#This Row],[Num]],Idiomas!$C$202:$C$249,0))</f>
        <v>Ecuador</v>
      </c>
      <c r="C21" s="9" t="s">
        <v>3</v>
      </c>
      <c r="D21" s="9">
        <v>4</v>
      </c>
      <c r="E21" s="9"/>
      <c r="F21" s="9"/>
      <c r="G21" s="9"/>
      <c r="H21" s="9"/>
      <c r="I21" s="9"/>
      <c r="J21" s="9"/>
      <c r="K21" s="9" t="str">
        <f ca="1">Idiomas!D221</f>
        <v>Spain</v>
      </c>
      <c r="L21" s="9" t="s">
        <v>144</v>
      </c>
      <c r="M21" s="9" t="e" vm="24">
        <v>#VALUE!</v>
      </c>
    </row>
    <row r="22" spans="1:331 8826:8826" ht="15" customHeight="1" x14ac:dyDescent="0.2">
      <c r="A22" s="9">
        <v>21</v>
      </c>
      <c r="B22" s="9" t="str">
        <f ca="1">+INDEX(Idiomas!$D$202:$D$249,MATCH(T_Equipos[[#This Row],[Num]],Idiomas!$C$202:$C$249,0))</f>
        <v>Netherlands</v>
      </c>
      <c r="C22" s="9" t="s">
        <v>4</v>
      </c>
      <c r="D22" s="9">
        <v>1</v>
      </c>
      <c r="E22" s="9"/>
      <c r="F22" s="9"/>
      <c r="G22" s="9"/>
      <c r="H22" s="9"/>
      <c r="I22" s="9"/>
      <c r="J22" s="9"/>
      <c r="K22" s="9" t="str">
        <f ca="1">Idiomas!D222</f>
        <v>United States</v>
      </c>
      <c r="L22" s="9" t="s">
        <v>1286</v>
      </c>
      <c r="M22" s="9" t="e" vm="25">
        <v>#VALUE!</v>
      </c>
    </row>
    <row r="23" spans="1:331 8826:8826" ht="15" customHeight="1" x14ac:dyDescent="0.2">
      <c r="A23" s="9">
        <v>22</v>
      </c>
      <c r="B23" s="9" t="str">
        <f ca="1">+INDEX(Idiomas!$D$202:$D$249,MATCH(T_Equipos[[#This Row],[Num]],Idiomas!$C$202:$C$249,0))</f>
        <v>Japan</v>
      </c>
      <c r="C23" s="9" t="s">
        <v>4</v>
      </c>
      <c r="D23" s="9">
        <v>2</v>
      </c>
      <c r="E23" s="9"/>
      <c r="F23" s="9"/>
      <c r="G23" s="9"/>
      <c r="H23" s="9"/>
      <c r="I23" s="9"/>
      <c r="J23" s="9"/>
      <c r="K23" s="9" t="str">
        <f ca="1">Idiomas!D223</f>
        <v>France</v>
      </c>
      <c r="L23" s="9" t="s">
        <v>143</v>
      </c>
      <c r="M23" s="9" t="e" vm="26">
        <v>#VALUE!</v>
      </c>
    </row>
    <row r="24" spans="1:331 8826:8826" ht="15" customHeight="1" x14ac:dyDescent="0.2">
      <c r="A24" s="9">
        <v>23</v>
      </c>
      <c r="B24" s="9" t="str">
        <f ca="1">+INDEX(Idiomas!$D$202:$D$249,MATCH(T_Equipos[[#This Row],[Num]],Idiomas!$C$202:$C$249,0))</f>
        <v>Sweden</v>
      </c>
      <c r="C24" s="9" t="s">
        <v>4</v>
      </c>
      <c r="D24" s="9">
        <v>3</v>
      </c>
      <c r="E24" s="9"/>
      <c r="F24" s="9"/>
      <c r="G24" s="9"/>
      <c r="H24" s="9"/>
      <c r="I24" s="9"/>
      <c r="J24" s="9"/>
      <c r="K24" s="9" t="str">
        <f ca="1">Idiomas!D224</f>
        <v>Ghana</v>
      </c>
      <c r="L24" s="9" t="s">
        <v>1396</v>
      </c>
      <c r="M24" s="9" t="e" vm="27">
        <v>#VALUE!</v>
      </c>
    </row>
    <row r="25" spans="1:331 8826:8826" ht="15" customHeight="1" x14ac:dyDescent="0.2">
      <c r="A25" s="9">
        <v>24</v>
      </c>
      <c r="B25" s="9" t="str">
        <f ca="1">+INDEX(Idiomas!$D$202:$D$249,MATCH(T_Equipos[[#This Row],[Num]],Idiomas!$C$202:$C$249,0))</f>
        <v>Tunisia</v>
      </c>
      <c r="C25" s="9" t="s">
        <v>4</v>
      </c>
      <c r="D25" s="9">
        <v>4</v>
      </c>
      <c r="E25" s="9"/>
      <c r="F25" s="9"/>
      <c r="G25" s="9"/>
      <c r="H25" s="9"/>
      <c r="I25" s="9"/>
      <c r="J25" s="9"/>
      <c r="K25" s="9" t="str">
        <f ca="1">Idiomas!D225</f>
        <v>Haiti</v>
      </c>
      <c r="L25" s="9" t="s">
        <v>1408</v>
      </c>
      <c r="M25" s="9" t="e" vm="28">
        <v>#VALUE!</v>
      </c>
    </row>
    <row r="26" spans="1:331 8826:8826" ht="15" customHeight="1" x14ac:dyDescent="0.2">
      <c r="A26" s="9">
        <v>25</v>
      </c>
      <c r="B26" s="9" t="str">
        <f ca="1">+INDEX(Idiomas!$D$202:$D$249,MATCH(T_Equipos[[#This Row],[Num]],Idiomas!$C$202:$C$249,0))</f>
        <v>Belgium</v>
      </c>
      <c r="C26" s="9" t="s">
        <v>6</v>
      </c>
      <c r="D26" s="9">
        <v>1</v>
      </c>
      <c r="E26" s="9"/>
      <c r="F26" s="9"/>
      <c r="G26" s="9"/>
      <c r="H26" s="9"/>
      <c r="I26" s="9"/>
      <c r="J26" s="9"/>
      <c r="K26" s="9" t="str">
        <f ca="1">Idiomas!D226</f>
        <v>England</v>
      </c>
      <c r="L26" s="9" t="s">
        <v>141</v>
      </c>
      <c r="M26" s="9" t="e" vm="29">
        <v>#VALUE!</v>
      </c>
    </row>
    <row r="27" spans="1:331 8826:8826" ht="15" customHeight="1" x14ac:dyDescent="0.2">
      <c r="A27" s="9">
        <v>26</v>
      </c>
      <c r="B27" s="9" t="str">
        <f ca="1">+INDEX(Idiomas!$D$202:$D$249,MATCH(T_Equipos[[#This Row],[Num]],Idiomas!$C$202:$C$249,0))</f>
        <v>Egypt</v>
      </c>
      <c r="C27" s="9" t="s">
        <v>6</v>
      </c>
      <c r="D27" s="9">
        <v>2</v>
      </c>
      <c r="E27" s="9"/>
      <c r="F27" s="9"/>
      <c r="G27" s="9"/>
      <c r="H27" s="9"/>
      <c r="I27" s="9"/>
      <c r="J27" s="9"/>
      <c r="K27" s="9" t="str">
        <f ca="1">Idiomas!D227</f>
        <v>Iran</v>
      </c>
      <c r="L27" s="9" t="str">
        <f>+INDEX(Credits!$W$87:$W$91,MATCH(Credits!$EZ$6144,Credits!$U$87:$U$91,0))</f>
        <v>🇮🇷</v>
      </c>
      <c r="M27" s="9" t="e" vm="30">
        <f>+INDEX(Credits!$X$87:$X$91,MATCH(Credits!$EZ$6144,Credits!$U$87:$U$91,0))</f>
        <v>#VALUE!</v>
      </c>
    </row>
    <row r="28" spans="1:331 8826:8826" ht="15" customHeight="1" x14ac:dyDescent="0.2">
      <c r="A28" s="9">
        <v>27</v>
      </c>
      <c r="B28" s="9" t="str">
        <f ca="1">+INDEX(Idiomas!$D$202:$D$249,MATCH(T_Equipos[[#This Row],[Num]],Idiomas!$C$202:$C$249,0))</f>
        <v>Iran</v>
      </c>
      <c r="C28" s="9" t="s">
        <v>6</v>
      </c>
      <c r="D28" s="9">
        <v>3</v>
      </c>
      <c r="E28" s="9"/>
      <c r="F28" s="9"/>
      <c r="G28" s="9"/>
      <c r="H28" s="9"/>
      <c r="I28" s="9"/>
      <c r="J28" s="9"/>
      <c r="K28" s="9" t="str">
        <f ca="1">Idiomas!D228</f>
        <v>Japan</v>
      </c>
      <c r="L28" s="9" t="s">
        <v>1290</v>
      </c>
      <c r="M28" s="9" t="e" vm="31">
        <v>#VALUE!</v>
      </c>
      <c r="LS28" s="617" t="s">
        <v>15</v>
      </c>
      <c r="MAL28" s="617" t="s">
        <v>15</v>
      </c>
    </row>
    <row r="29" spans="1:331 8826:8826" ht="15" customHeight="1" x14ac:dyDescent="0.2">
      <c r="A29" s="9">
        <v>28</v>
      </c>
      <c r="B29" s="9" t="str">
        <f ca="1">+INDEX(Idiomas!$D$202:$D$249,MATCH(T_Equipos[[#This Row],[Num]],Idiomas!$C$202:$C$249,0))</f>
        <v>New Zealand</v>
      </c>
      <c r="C29" s="9" t="s">
        <v>6</v>
      </c>
      <c r="D29" s="9">
        <v>4</v>
      </c>
      <c r="E29" s="9"/>
      <c r="F29" s="9"/>
      <c r="G29" s="9"/>
      <c r="H29" s="9"/>
      <c r="I29" s="9"/>
      <c r="J29" s="9"/>
      <c r="K29" s="9" t="str">
        <f ca="1">Idiomas!D229</f>
        <v>Jordan</v>
      </c>
      <c r="L29" s="9" t="s">
        <v>1292</v>
      </c>
      <c r="M29" s="9" t="e" vm="32">
        <v>#VALUE!</v>
      </c>
    </row>
    <row r="30" spans="1:331 8826:8826" ht="15" customHeight="1" x14ac:dyDescent="0.2">
      <c r="A30" s="9">
        <v>29</v>
      </c>
      <c r="B30" s="9" t="str">
        <f ca="1">+INDEX(Idiomas!$D$202:$D$249,MATCH(T_Equipos[[#This Row],[Num]],Idiomas!$C$202:$C$249,0))</f>
        <v>Spain</v>
      </c>
      <c r="C30" s="9" t="s">
        <v>447</v>
      </c>
      <c r="D30" s="9">
        <v>1</v>
      </c>
      <c r="E30" s="9"/>
      <c r="F30" s="9"/>
      <c r="G30" s="9"/>
      <c r="H30" s="9"/>
      <c r="I30" s="9"/>
      <c r="J30" s="9"/>
      <c r="K30" s="9" t="str">
        <f ca="1">Idiomas!D230</f>
        <v>Morocco</v>
      </c>
      <c r="L30" s="9" t="s">
        <v>1342</v>
      </c>
      <c r="M30" s="9" t="e" vm="33">
        <v>#VALUE!</v>
      </c>
    </row>
    <row r="31" spans="1:331 8826:8826" ht="15" customHeight="1" x14ac:dyDescent="0.2">
      <c r="A31" s="9">
        <v>30</v>
      </c>
      <c r="B31" s="9" t="str">
        <f ca="1">+INDEX(Idiomas!$D$202:$D$249,MATCH(T_Equipos[[#This Row],[Num]],Idiomas!$C$202:$C$249,0))</f>
        <v>Cape Verde</v>
      </c>
      <c r="C31" s="9" t="s">
        <v>447</v>
      </c>
      <c r="D31" s="9">
        <v>2</v>
      </c>
      <c r="E31" s="9"/>
      <c r="F31" s="9"/>
      <c r="G31" s="9"/>
      <c r="H31" s="9"/>
      <c r="I31" s="9"/>
      <c r="J31" s="9"/>
      <c r="K31" s="9" t="str">
        <f ca="1">Idiomas!D231</f>
        <v>Mexico</v>
      </c>
      <c r="L31" s="9" t="s">
        <v>1294</v>
      </c>
      <c r="M31" s="9" t="e" vm="34">
        <v>#VALUE!</v>
      </c>
    </row>
    <row r="32" spans="1:331 8826:8826" ht="15" customHeight="1" x14ac:dyDescent="0.2">
      <c r="A32" s="9">
        <v>31</v>
      </c>
      <c r="B32" s="9" t="str">
        <f ca="1">+INDEX(Idiomas!$D$202:$D$249,MATCH(T_Equipos[[#This Row],[Num]],Idiomas!$C$202:$C$249,0))</f>
        <v>Saudi Arabia</v>
      </c>
      <c r="C32" s="9" t="s">
        <v>447</v>
      </c>
      <c r="D32" s="9">
        <v>3</v>
      </c>
      <c r="E32" s="9"/>
      <c r="F32" s="9"/>
      <c r="G32" s="9"/>
      <c r="H32" s="9"/>
      <c r="I32" s="9"/>
      <c r="J32" s="9"/>
      <c r="K32" s="9" t="str">
        <f ca="1">Idiomas!D232</f>
        <v>Norway</v>
      </c>
      <c r="L32" s="9" t="s">
        <v>149</v>
      </c>
      <c r="M32" s="9" t="e" vm="35">
        <v>#VALUE!</v>
      </c>
    </row>
    <row r="33" spans="1:13" ht="15" customHeight="1" x14ac:dyDescent="0.2">
      <c r="A33" s="9">
        <v>32</v>
      </c>
      <c r="B33" s="9" t="str">
        <f ca="1">+INDEX(Idiomas!$D$202:$D$249,MATCH(T_Equipos[[#This Row],[Num]],Idiomas!$C$202:$C$249,0))</f>
        <v>Uruguay</v>
      </c>
      <c r="C33" s="9" t="s">
        <v>447</v>
      </c>
      <c r="D33" s="9">
        <v>4</v>
      </c>
      <c r="E33" s="9"/>
      <c r="F33" s="9"/>
      <c r="G33" s="9"/>
      <c r="H33" s="9"/>
      <c r="I33" s="9"/>
      <c r="J33" s="9"/>
      <c r="K33" s="9" t="str">
        <f ca="1">Idiomas!D233</f>
        <v>New Zealand</v>
      </c>
      <c r="L33" s="9" t="s">
        <v>1296</v>
      </c>
      <c r="M33" s="9" t="e" vm="36">
        <v>#VALUE!</v>
      </c>
    </row>
    <row r="34" spans="1:13" ht="15" customHeight="1" x14ac:dyDescent="0.2">
      <c r="A34" s="9">
        <v>33</v>
      </c>
      <c r="B34" s="9" t="str">
        <f ca="1">+INDEX(Idiomas!$D$202:$D$249,MATCH(T_Equipos[[#This Row],[Num]],Idiomas!$C$202:$C$249,0))</f>
        <v>France</v>
      </c>
      <c r="C34" s="9" t="s">
        <v>448</v>
      </c>
      <c r="D34" s="9">
        <v>1</v>
      </c>
      <c r="E34" s="9"/>
      <c r="F34" s="9"/>
      <c r="G34" s="9"/>
      <c r="H34" s="9"/>
      <c r="I34" s="9"/>
      <c r="J34" s="9"/>
      <c r="K34" s="9" t="str">
        <f ca="1">Idiomas!D234</f>
        <v>Netherlands</v>
      </c>
      <c r="L34" s="9" t="s">
        <v>140</v>
      </c>
      <c r="M34" s="9" t="e" vm="37">
        <v>#VALUE!</v>
      </c>
    </row>
    <row r="35" spans="1:13" ht="15" customHeight="1" x14ac:dyDescent="0.2">
      <c r="A35" s="9">
        <v>34</v>
      </c>
      <c r="B35" s="9" t="str">
        <f ca="1">+INDEX(Idiomas!$D$202:$D$249,MATCH(T_Equipos[[#This Row],[Num]],Idiomas!$C$202:$C$249,0))</f>
        <v>Senegal</v>
      </c>
      <c r="C35" s="9" t="s">
        <v>448</v>
      </c>
      <c r="D35" s="9">
        <v>2</v>
      </c>
      <c r="E35" s="9"/>
      <c r="F35" s="9"/>
      <c r="G35" s="9"/>
      <c r="H35" s="9"/>
      <c r="I35" s="9"/>
      <c r="J35" s="9"/>
      <c r="K35" s="9" t="str">
        <f ca="1">Idiomas!D235</f>
        <v>Panama</v>
      </c>
      <c r="L35" s="9" t="s">
        <v>1406</v>
      </c>
      <c r="M35" s="9" t="e" vm="38">
        <v>#VALUE!</v>
      </c>
    </row>
    <row r="36" spans="1:13" ht="15" customHeight="1" x14ac:dyDescent="0.2">
      <c r="A36" s="9">
        <v>35</v>
      </c>
      <c r="B36" s="9" t="str">
        <f ca="1">+INDEX(Idiomas!$D$202:$D$249,MATCH(T_Equipos[[#This Row],[Num]],Idiomas!$C$202:$C$249,0))</f>
        <v>Iraq</v>
      </c>
      <c r="C36" s="9" t="s">
        <v>448</v>
      </c>
      <c r="D36" s="9">
        <v>3</v>
      </c>
      <c r="E36" s="9"/>
      <c r="F36" s="9"/>
      <c r="G36" s="9"/>
      <c r="H36" s="9"/>
      <c r="I36" s="9"/>
      <c r="J36" s="9"/>
      <c r="K36" s="9" t="str">
        <f ca="1">Idiomas!D236</f>
        <v>Paraguay</v>
      </c>
      <c r="L36" s="9" t="s">
        <v>1339</v>
      </c>
      <c r="M36" s="9" t="e" vm="39">
        <v>#VALUE!</v>
      </c>
    </row>
    <row r="37" spans="1:13" ht="15" customHeight="1" x14ac:dyDescent="0.2">
      <c r="A37" s="9">
        <v>36</v>
      </c>
      <c r="B37" s="9" t="str">
        <f ca="1">+INDEX(Idiomas!$D$202:$D$249,MATCH(T_Equipos[[#This Row],[Num]],Idiomas!$C$202:$C$249,0))</f>
        <v>Norway</v>
      </c>
      <c r="C37" s="9" t="s">
        <v>448</v>
      </c>
      <c r="D37" s="9">
        <v>4</v>
      </c>
      <c r="E37" s="9"/>
      <c r="F37" s="9"/>
      <c r="G37" s="9"/>
      <c r="H37" s="9"/>
      <c r="I37" s="9"/>
      <c r="J37" s="9"/>
      <c r="K37" s="9" t="str">
        <f ca="1">Idiomas!D237</f>
        <v>Portugal</v>
      </c>
      <c r="L37" s="9" t="s">
        <v>139</v>
      </c>
      <c r="M37" s="9" t="e" vm="40">
        <v>#VALUE!</v>
      </c>
    </row>
    <row r="38" spans="1:13" ht="15" customHeight="1" x14ac:dyDescent="0.2">
      <c r="A38" s="9">
        <v>37</v>
      </c>
      <c r="B38" s="9" t="str">
        <f ca="1">+INDEX(Idiomas!$D$202:$D$249,MATCH(T_Equipos[[#This Row],[Num]],Idiomas!$C$202:$C$249,0))</f>
        <v>Argentina</v>
      </c>
      <c r="C38" s="9" t="s">
        <v>5</v>
      </c>
      <c r="D38" s="9">
        <v>1</v>
      </c>
      <c r="E38" s="9"/>
      <c r="F38" s="9"/>
      <c r="G38" s="9"/>
      <c r="H38" s="9"/>
      <c r="I38" s="9"/>
      <c r="J38" s="9"/>
      <c r="K38" s="9" t="str">
        <f ca="1">Idiomas!D238</f>
        <v>Senegal</v>
      </c>
      <c r="L38" s="9" t="s">
        <v>1398</v>
      </c>
      <c r="M38" s="9" t="e" vm="41">
        <v>#VALUE!</v>
      </c>
    </row>
    <row r="39" spans="1:13" ht="15" customHeight="1" x14ac:dyDescent="0.2">
      <c r="A39" s="9">
        <v>38</v>
      </c>
      <c r="B39" s="9" t="str">
        <f ca="1">+INDEX(Idiomas!$D$202:$D$249,MATCH(T_Equipos[[#This Row],[Num]],Idiomas!$C$202:$C$249,0))</f>
        <v>Algeria</v>
      </c>
      <c r="C39" s="9" t="s">
        <v>5</v>
      </c>
      <c r="D39" s="9">
        <v>2</v>
      </c>
      <c r="E39" s="9"/>
      <c r="F39" s="9"/>
      <c r="G39" s="9"/>
      <c r="H39" s="9"/>
      <c r="I39" s="9"/>
      <c r="J39" s="9"/>
      <c r="K39" s="9" t="str">
        <f ca="1">Idiomas!D239</f>
        <v>South Africa</v>
      </c>
      <c r="L39" s="9" t="s">
        <v>1401</v>
      </c>
      <c r="M39" s="9" t="e" vm="42">
        <v>#VALUE!</v>
      </c>
    </row>
    <row r="40" spans="1:13" ht="15" customHeight="1" x14ac:dyDescent="0.2">
      <c r="A40" s="9">
        <v>39</v>
      </c>
      <c r="B40" s="9" t="str">
        <f ca="1">+INDEX(Idiomas!$D$202:$D$249,MATCH(T_Equipos[[#This Row],[Num]],Idiomas!$C$202:$C$249,0))</f>
        <v>Austria</v>
      </c>
      <c r="C40" s="9" t="s">
        <v>5</v>
      </c>
      <c r="D40" s="9">
        <v>3</v>
      </c>
      <c r="E40" s="9"/>
      <c r="F40" s="9"/>
      <c r="G40" s="9"/>
      <c r="H40" s="9"/>
      <c r="I40" s="9"/>
      <c r="J40" s="9"/>
      <c r="K40" s="9" t="str">
        <f ca="1">Idiomas!D240</f>
        <v>Switzerland</v>
      </c>
      <c r="L40" s="9" t="s">
        <v>138</v>
      </c>
      <c r="M40" s="9" t="e" vm="43">
        <v>#VALUE!</v>
      </c>
    </row>
    <row r="41" spans="1:13" ht="15" customHeight="1" x14ac:dyDescent="0.2">
      <c r="A41" s="9">
        <v>40</v>
      </c>
      <c r="B41" s="9" t="str">
        <f ca="1">+INDEX(Idiomas!$D$202:$D$249,MATCH(T_Equipos[[#This Row],[Num]],Idiomas!$C$202:$C$249,0))</f>
        <v>Jordan</v>
      </c>
      <c r="C41" s="9" t="s">
        <v>5</v>
      </c>
      <c r="D41" s="9">
        <v>4</v>
      </c>
      <c r="E41" s="9"/>
      <c r="F41" s="9"/>
      <c r="G41" s="9"/>
      <c r="H41" s="9"/>
      <c r="I41" s="9"/>
      <c r="J41" s="9"/>
      <c r="K41" s="9" t="str">
        <f ca="1">Idiomas!D241</f>
        <v>Tunisia</v>
      </c>
      <c r="L41" s="9" t="s">
        <v>1344</v>
      </c>
      <c r="M41" s="9" t="e" vm="44">
        <v>#VALUE!</v>
      </c>
    </row>
    <row r="42" spans="1:13" ht="15" customHeight="1" x14ac:dyDescent="0.2">
      <c r="A42" s="9">
        <v>41</v>
      </c>
      <c r="B42" s="9" t="str">
        <f ca="1">+INDEX(Idiomas!$D$202:$D$249,MATCH(T_Equipos[[#This Row],[Num]],Idiomas!$C$202:$C$249,0))</f>
        <v>Portugal</v>
      </c>
      <c r="C42" s="9" t="s">
        <v>449</v>
      </c>
      <c r="D42" s="9">
        <v>1</v>
      </c>
      <c r="E42" s="9"/>
      <c r="F42" s="9"/>
      <c r="G42" s="9"/>
      <c r="H42" s="9"/>
      <c r="I42" s="9"/>
      <c r="J42" s="9"/>
      <c r="K42" s="9" t="str">
        <f ca="1">Idiomas!D242</f>
        <v>Uruguay</v>
      </c>
      <c r="L42" s="9" t="s">
        <v>1338</v>
      </c>
      <c r="M42" s="9" t="e" vm="45">
        <v>#VALUE!</v>
      </c>
    </row>
    <row r="43" spans="1:13" ht="15" customHeight="1" x14ac:dyDescent="0.2">
      <c r="A43" s="9">
        <v>42</v>
      </c>
      <c r="B43" s="9" t="str">
        <f ca="1">+INDEX(Idiomas!$D$202:$D$249,MATCH(T_Equipos[[#This Row],[Num]],Idiomas!$C$202:$C$249,0))</f>
        <v>DR Congo</v>
      </c>
      <c r="C43" s="9" t="s">
        <v>449</v>
      </c>
      <c r="D43" s="9">
        <v>2</v>
      </c>
      <c r="E43" s="9"/>
      <c r="F43" s="9"/>
      <c r="G43" s="9"/>
      <c r="H43" s="9"/>
      <c r="I43" s="9"/>
      <c r="J43" s="9"/>
      <c r="K43" s="9" t="str">
        <f ca="1">Idiomas!D243</f>
        <v>Uzbekistan</v>
      </c>
      <c r="L43" s="9" t="s">
        <v>1298</v>
      </c>
      <c r="M43" s="9" t="e" vm="46">
        <v>#VALUE!</v>
      </c>
    </row>
    <row r="44" spans="1:13" ht="15" customHeight="1" x14ac:dyDescent="0.2">
      <c r="A44" s="9">
        <v>43</v>
      </c>
      <c r="B44" s="9" t="str">
        <f ca="1">+INDEX(Idiomas!$D$202:$D$249,MATCH(T_Equipos[[#This Row],[Num]],Idiomas!$C$202:$C$249,0))</f>
        <v>Uzbekistan</v>
      </c>
      <c r="C44" s="9" t="s">
        <v>449</v>
      </c>
      <c r="D44" s="9">
        <v>3</v>
      </c>
      <c r="E44" s="9"/>
      <c r="F44" s="9"/>
      <c r="G44" s="9"/>
      <c r="H44" s="9"/>
      <c r="I44" s="9"/>
      <c r="J44" s="9"/>
      <c r="K44" s="9" t="str">
        <f ca="1">Idiomas!D244</f>
        <v>DR Congo</v>
      </c>
      <c r="L44" s="620" t="s">
        <v>1512</v>
      </c>
      <c r="M44" s="620" t="e" vm="47">
        <v>#VALUE!</v>
      </c>
    </row>
    <row r="45" spans="1:13" ht="15" customHeight="1" x14ac:dyDescent="0.2">
      <c r="A45" s="9">
        <v>44</v>
      </c>
      <c r="B45" s="9" t="str">
        <f ca="1">+INDEX(Idiomas!$D$202:$D$249,MATCH(T_Equipos[[#This Row],[Num]],Idiomas!$C$202:$C$249,0))</f>
        <v>Colombia</v>
      </c>
      <c r="C45" s="9" t="s">
        <v>449</v>
      </c>
      <c r="D45" s="9">
        <v>4</v>
      </c>
      <c r="E45" s="9"/>
      <c r="F45" s="9"/>
      <c r="G45" s="9"/>
      <c r="H45" s="9"/>
      <c r="I45" s="9"/>
      <c r="J45" s="9"/>
      <c r="K45" s="9" t="str">
        <f ca="1">Idiomas!D245</f>
        <v>Iraq</v>
      </c>
      <c r="L45" s="620" t="s">
        <v>1462</v>
      </c>
      <c r="M45" s="620" t="e" vm="48">
        <v>#VALUE!</v>
      </c>
    </row>
    <row r="46" spans="1:13" ht="15" customHeight="1" x14ac:dyDescent="0.2">
      <c r="A46" s="9">
        <v>45</v>
      </c>
      <c r="B46" s="9" t="str">
        <f ca="1">+INDEX(Idiomas!$D$202:$D$249,MATCH(T_Equipos[[#This Row],[Num]],Idiomas!$C$202:$C$249,0))</f>
        <v>England</v>
      </c>
      <c r="C46" s="9" t="s">
        <v>247</v>
      </c>
      <c r="D46" s="9">
        <v>1</v>
      </c>
      <c r="E46" s="9"/>
      <c r="F46" s="9"/>
      <c r="G46" s="9"/>
      <c r="H46" s="9"/>
      <c r="I46" s="9"/>
      <c r="J46" s="9"/>
      <c r="K46" s="9" t="str">
        <f ca="1">Idiomas!D246</f>
        <v>Bosnia and Herzegovina</v>
      </c>
      <c r="L46" s="621" t="s">
        <v>1506</v>
      </c>
      <c r="M46" s="621" t="e" vm="49">
        <v>#VALUE!</v>
      </c>
    </row>
    <row r="47" spans="1:13" ht="15" customHeight="1" x14ac:dyDescent="0.2">
      <c r="A47" s="9">
        <v>46</v>
      </c>
      <c r="B47" s="9" t="str">
        <f ca="1">+INDEX(Idiomas!$D$202:$D$249,MATCH(T_Equipos[[#This Row],[Num]],Idiomas!$C$202:$C$249,0))</f>
        <v>Croatia</v>
      </c>
      <c r="C47" s="9" t="s">
        <v>247</v>
      </c>
      <c r="D47" s="9">
        <v>2</v>
      </c>
      <c r="E47" s="9"/>
      <c r="F47" s="9"/>
      <c r="G47" s="9"/>
      <c r="H47" s="9"/>
      <c r="I47" s="9"/>
      <c r="J47" s="9"/>
      <c r="K47" s="9" t="str">
        <f ca="1">Idiomas!D247</f>
        <v>Sweden</v>
      </c>
      <c r="L47" s="620" t="s">
        <v>1500</v>
      </c>
      <c r="M47" s="620" t="e" vm="50">
        <v>#VALUE!</v>
      </c>
    </row>
    <row r="48" spans="1:13" ht="15" customHeight="1" x14ac:dyDescent="0.2">
      <c r="A48" s="9">
        <v>47</v>
      </c>
      <c r="B48" s="9" t="str">
        <f ca="1">+INDEX(Idiomas!$D$202:$D$249,MATCH(T_Equipos[[#This Row],[Num]],Idiomas!$C$202:$C$249,0))</f>
        <v>Ghana</v>
      </c>
      <c r="C48" s="9" t="s">
        <v>247</v>
      </c>
      <c r="D48" s="9">
        <v>3</v>
      </c>
      <c r="E48" s="9"/>
      <c r="F48" s="9"/>
      <c r="G48" s="9"/>
      <c r="H48" s="9"/>
      <c r="I48" s="9"/>
      <c r="J48" s="9"/>
      <c r="K48" s="9" t="str">
        <f ca="1">Idiomas!D248</f>
        <v>Turkey</v>
      </c>
      <c r="L48" s="620" t="s">
        <v>1503</v>
      </c>
      <c r="M48" s="620" t="e" vm="51">
        <v>#VALUE!</v>
      </c>
    </row>
    <row r="49" spans="1:13" ht="15" customHeight="1" x14ac:dyDescent="0.2">
      <c r="A49" s="9">
        <v>48</v>
      </c>
      <c r="B49" s="9" t="str">
        <f ca="1">+INDEX(Idiomas!$D$202:$D$249,MATCH(T_Equipos[[#This Row],[Num]],Idiomas!$C$202:$C$249,0))</f>
        <v>Panama</v>
      </c>
      <c r="C49" s="9" t="s">
        <v>247</v>
      </c>
      <c r="D49" s="9">
        <v>4</v>
      </c>
      <c r="E49" s="9"/>
      <c r="F49" s="9"/>
      <c r="G49" s="9"/>
      <c r="H49" s="9"/>
      <c r="I49" s="9"/>
      <c r="J49" s="9"/>
      <c r="K49" s="9" t="str">
        <f ca="1">Idiomas!D249</f>
        <v>Czech Republic</v>
      </c>
      <c r="L49" s="620" t="s">
        <v>1509</v>
      </c>
      <c r="M49" s="620" t="e" vm="52">
        <v>#VALUE!</v>
      </c>
    </row>
  </sheetData>
  <sheetProtection algorithmName="SHA-512" hashValue="EnXico7FGGcFH0hVFVsZuFQEmg5luGszjG7L0p6dHffeEMSpKNEhenFt6Q8axMwnqgPEQh+eN7ST/akK/nmmsQ==" saltValue="5ErA/EAOoJpx8LJghinTeg==" spinCount="100000" sheet="1" objects="1" scenarios="1" selectLockedCells="1" selectUnlockedCells="1"/>
  <phoneticPr fontId="13" type="noConversion"/>
  <pageMargins left="0.7" right="0.7" top="0.75" bottom="0.75" header="0.3" footer="0.3"/>
  <tableParts count="1">
    <tablePart r:id="rId1"/>
  </tablePart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AD8C0-08BC-4773-813E-F44B9D749020}">
  <sheetPr codeName="Hoja4"/>
  <dimension ref="A1:AI147"/>
  <sheetViews>
    <sheetView showGridLines="0" showRowColHeaders="0" topLeftCell="ARI10833" zoomScaleNormal="100" workbookViewId="0">
      <selection activeCell="ARI10834" sqref="ARI10834"/>
      <extLst>
        <ext xmlns:xlsdti="http://schemas.microsoft.com/office/spreadsheetml/2023/showDataTypeIcons" uri="{77bfe23e-c014-4d31-8a63-9c772dbf06b6}">
          <xlsdti:showDataTypeIcons visible="0"/>
        </ext>
      </extLst>
    </sheetView>
  </sheetViews>
  <sheetFormatPr baseColWidth="10" defaultRowHeight="15" x14ac:dyDescent="0.2"/>
  <cols>
    <col min="1" max="1" width="13.1640625" style="14" bestFit="1" customWidth="1"/>
    <col min="2" max="2" width="5" style="14" customWidth="1"/>
    <col min="3" max="3" width="12.5" style="14" customWidth="1"/>
    <col min="4" max="4" width="13.1640625" style="14" customWidth="1"/>
    <col min="5" max="5" width="12.33203125" style="14" bestFit="1" customWidth="1"/>
    <col min="6" max="6" width="10.83203125" style="14"/>
    <col min="7" max="7" width="12.33203125" style="14" bestFit="1" customWidth="1"/>
    <col min="8" max="9" width="10.83203125" style="14"/>
    <col min="10" max="10" width="13.5" style="14" customWidth="1"/>
    <col min="11" max="15" width="10.83203125" style="14"/>
    <col min="16" max="16" width="4.83203125" style="14" bestFit="1" customWidth="1"/>
    <col min="17" max="17" width="17.83203125" style="14" bestFit="1" customWidth="1"/>
    <col min="18" max="18" width="11.1640625" style="14" bestFit="1" customWidth="1"/>
    <col min="19" max="19" width="11" style="14" bestFit="1" customWidth="1"/>
    <col min="20" max="20" width="10.33203125" style="14" bestFit="1" customWidth="1"/>
    <col min="21" max="21" width="10.5" style="14" customWidth="1"/>
    <col min="22" max="22" width="10.33203125" style="14" customWidth="1"/>
    <col min="23" max="23" width="3.33203125" style="14" bestFit="1" customWidth="1"/>
    <col min="24" max="26" width="10.83203125" style="14"/>
    <col min="27" max="27" width="6.5" style="14" customWidth="1"/>
    <col min="28" max="33" width="10.83203125" style="14"/>
    <col min="34" max="34" width="3.33203125" style="14" bestFit="1" customWidth="1"/>
    <col min="35" max="16384" width="10.83203125" style="14"/>
  </cols>
  <sheetData>
    <row r="1" spans="1:35" x14ac:dyDescent="0.2">
      <c r="A1" s="16"/>
      <c r="B1" s="16"/>
      <c r="C1" s="16"/>
      <c r="K1" s="16" t="s">
        <v>386</v>
      </c>
      <c r="L1" s="16" t="s">
        <v>378</v>
      </c>
      <c r="M1" s="16" t="s">
        <v>151</v>
      </c>
      <c r="N1" s="16" t="s">
        <v>383</v>
      </c>
      <c r="P1" s="16" t="s">
        <v>1356</v>
      </c>
      <c r="Q1" s="16"/>
      <c r="R1" s="16"/>
      <c r="S1" s="16"/>
      <c r="T1" s="16"/>
      <c r="U1" s="16"/>
      <c r="V1" s="16"/>
      <c r="W1" s="16"/>
      <c r="X1" s="16"/>
      <c r="AA1" s="16"/>
      <c r="AB1" s="16"/>
      <c r="AC1" s="16"/>
      <c r="AD1" s="16"/>
      <c r="AE1" s="16"/>
      <c r="AF1" s="16"/>
      <c r="AG1" s="16"/>
      <c r="AH1" s="16"/>
      <c r="AI1" s="16"/>
    </row>
    <row r="2" spans="1:35" x14ac:dyDescent="0.2">
      <c r="A2" s="16"/>
      <c r="B2" s="16"/>
      <c r="C2" s="16"/>
      <c r="K2" s="16" t="s">
        <v>377</v>
      </c>
      <c r="L2" s="16" t="str">
        <f>Idiomas!D252</f>
        <v>United States</v>
      </c>
      <c r="M2" s="16">
        <f ca="1">+INDEX($R$3:$R$86,MATCH($L$2,$Q$3:$Q$86,0))</f>
        <v>-4</v>
      </c>
      <c r="N2" s="625">
        <f ca="1">+INDEX($S$3:$S$86,MATCH($L$2,$Q$3:$Q$86,0))</f>
        <v>0.16666666666666666</v>
      </c>
      <c r="P2" s="410" t="s">
        <v>379</v>
      </c>
      <c r="Q2" s="410" t="s">
        <v>378</v>
      </c>
      <c r="R2" s="410" t="s">
        <v>363</v>
      </c>
      <c r="S2" s="410" t="s">
        <v>382</v>
      </c>
      <c r="T2" s="410" t="s">
        <v>364</v>
      </c>
      <c r="U2" s="410" t="s">
        <v>365</v>
      </c>
      <c r="V2" s="410" t="s">
        <v>381</v>
      </c>
      <c r="W2" s="623" t="s">
        <v>380</v>
      </c>
      <c r="X2" s="410" t="s">
        <v>364</v>
      </c>
      <c r="AA2" s="410" t="s">
        <v>379</v>
      </c>
      <c r="AB2" s="410" t="s">
        <v>378</v>
      </c>
      <c r="AC2" s="410" t="s">
        <v>363</v>
      </c>
      <c r="AD2" s="410" t="s">
        <v>382</v>
      </c>
      <c r="AE2" s="410" t="s">
        <v>364</v>
      </c>
      <c r="AF2" s="410" t="s">
        <v>365</v>
      </c>
      <c r="AG2" s="410" t="s">
        <v>381</v>
      </c>
      <c r="AH2" s="623" t="s">
        <v>380</v>
      </c>
      <c r="AI2" s="410" t="s">
        <v>84</v>
      </c>
    </row>
    <row r="3" spans="1:35" ht="16" x14ac:dyDescent="0.2">
      <c r="A3" s="9" t="s">
        <v>41</v>
      </c>
      <c r="B3" s="16"/>
      <c r="C3" s="16">
        <f ca="1">+IFERROR(INDEX($P$3:$P$86,MATCH(Home!$C$8,Horarios!$Q$3:$Q$86,0)),INDEX($P$3:$P$86,MATCH(1,$T$3:$T$86,0)))</f>
        <v>46</v>
      </c>
      <c r="K3" s="16" t="s">
        <v>150</v>
      </c>
      <c r="L3" s="16"/>
      <c r="M3" s="16"/>
      <c r="N3" s="16"/>
      <c r="P3" s="16">
        <v>1</v>
      </c>
      <c r="Q3" s="16" t="str">
        <f ca="1">+INDEX($AB$3:$AB$50,MATCH(P3,$AI$3:$AI$50,0))</f>
        <v>Algeria</v>
      </c>
      <c r="R3" s="16">
        <f t="shared" ref="R3:W18" ca="1" si="0">+INDEX($AC$3:$AH$86,MATCH($Q3,$AB$3:$AB$86,0),MATCH(R$2,$AC$2:$AH$2,0))</f>
        <v>1</v>
      </c>
      <c r="S3" s="625">
        <f t="shared" ca="1" si="0"/>
        <v>4.1666666666666664E-2</v>
      </c>
      <c r="T3" s="16">
        <f t="shared" ca="1" si="0"/>
        <v>0</v>
      </c>
      <c r="U3" s="16">
        <f t="shared" ca="1" si="0"/>
        <v>5</v>
      </c>
      <c r="V3" s="625">
        <f t="shared" ca="1" si="0"/>
        <v>0.20833333333333334</v>
      </c>
      <c r="W3" s="16">
        <f t="shared" ca="1" si="0"/>
        <v>1</v>
      </c>
      <c r="X3" s="16">
        <f t="shared" ref="X3:X50" ca="1" si="1">IFERROR(IF(Q3=$L$2,1,0),0)</f>
        <v>0</v>
      </c>
      <c r="AA3" s="16">
        <v>1</v>
      </c>
      <c r="AB3" s="16" t="str">
        <f ca="1">Idiomas!D202</f>
        <v>Germany</v>
      </c>
      <c r="AC3" s="624">
        <v>2</v>
      </c>
      <c r="AD3" s="625">
        <f>ABS(AC3/24)</f>
        <v>8.3333333333333329E-2</v>
      </c>
      <c r="AE3" s="16">
        <v>0</v>
      </c>
      <c r="AF3" s="16">
        <f ca="1">AC3-$M$2</f>
        <v>6</v>
      </c>
      <c r="AG3" s="625">
        <f ca="1">ABS(AF3/24)</f>
        <v>0.25</v>
      </c>
      <c r="AH3" s="16">
        <f ca="1">IF(AC3&gt;$M$2,1,IF(AC3=$M$2,0,-1))</f>
        <v>1</v>
      </c>
      <c r="AI3" s="16">
        <f ca="1">+COUNTIF($AB$3:$AB$50,"&lt;="&amp;AB3)</f>
        <v>19</v>
      </c>
    </row>
    <row r="4" spans="1:35" ht="16" x14ac:dyDescent="0.2">
      <c r="A4" s="594">
        <v>46184.625</v>
      </c>
      <c r="B4" s="16"/>
      <c r="C4" s="594">
        <f t="shared" ref="C4:C9" ca="1" si="2">A4+INDEX($V$3:$V$86,MATCH($C$3,$P$3:$P$86,0))*INDEX($W$3:$W$86,MATCH($C$3,$P$3:$P$86,0))</f>
        <v>46184.625</v>
      </c>
      <c r="D4" s="622"/>
      <c r="E4" s="622"/>
      <c r="P4" s="16">
        <v>2</v>
      </c>
      <c r="Q4" s="16" t="str">
        <f t="shared" ref="Q4:Q50" ca="1" si="3">+INDEX($AB$3:$AB$50,MATCH(P4,$AI$3:$AI$50,0))</f>
        <v>Argentina</v>
      </c>
      <c r="R4" s="16">
        <f t="shared" ca="1" si="0"/>
        <v>-3</v>
      </c>
      <c r="S4" s="625">
        <f t="shared" ca="1" si="0"/>
        <v>0.125</v>
      </c>
      <c r="T4" s="16">
        <f t="shared" ca="1" si="0"/>
        <v>0</v>
      </c>
      <c r="U4" s="16">
        <f t="shared" ca="1" si="0"/>
        <v>1</v>
      </c>
      <c r="V4" s="625">
        <f t="shared" ca="1" si="0"/>
        <v>4.1666666666666664E-2</v>
      </c>
      <c r="W4" s="16">
        <f t="shared" ca="1" si="0"/>
        <v>1</v>
      </c>
      <c r="X4" s="16">
        <f t="shared" ca="1" si="1"/>
        <v>0</v>
      </c>
      <c r="AA4" s="16">
        <v>2</v>
      </c>
      <c r="AB4" s="16" t="str">
        <f ca="1">Idiomas!D203</f>
        <v>Saudi Arabia</v>
      </c>
      <c r="AC4" s="624">
        <v>3</v>
      </c>
      <c r="AD4" s="625">
        <f t="shared" ref="AD4:AD67" si="4">ABS(AC4/24)</f>
        <v>0.125</v>
      </c>
      <c r="AE4" s="16">
        <v>0</v>
      </c>
      <c r="AF4" s="16">
        <f t="shared" ref="AF4:AF50" ca="1" si="5">AC4-$M$2</f>
        <v>7</v>
      </c>
      <c r="AG4" s="625">
        <f t="shared" ref="AG4:AG67" ca="1" si="6">ABS(AF4/24)</f>
        <v>0.29166666666666669</v>
      </c>
      <c r="AH4" s="16">
        <f t="shared" ref="AH4:AH50" ca="1" si="7">IF(AC4&gt;$M$2,1,IF(AC4=$M$2,0,-1))</f>
        <v>1</v>
      </c>
      <c r="AI4" s="16">
        <f t="shared" ref="AI4:AI50" ca="1" si="8">+COUNTIF($AB$3:$AB$50,"&lt;="&amp;AB4)</f>
        <v>36</v>
      </c>
    </row>
    <row r="5" spans="1:35" ht="16" x14ac:dyDescent="0.2">
      <c r="A5" s="594">
        <v>46184.916666666664</v>
      </c>
      <c r="B5" s="16"/>
      <c r="C5" s="594">
        <f t="shared" ca="1" si="2"/>
        <v>46184.916666666664</v>
      </c>
      <c r="D5" s="622"/>
      <c r="E5" s="622"/>
      <c r="P5" s="16">
        <v>3</v>
      </c>
      <c r="Q5" s="16" t="str">
        <f t="shared" ca="1" si="3"/>
        <v>Australia</v>
      </c>
      <c r="R5" s="16">
        <f t="shared" ca="1" si="0"/>
        <v>10.5</v>
      </c>
      <c r="S5" s="625">
        <f t="shared" ca="1" si="0"/>
        <v>0.4375</v>
      </c>
      <c r="T5" s="16">
        <f t="shared" ca="1" si="0"/>
        <v>0</v>
      </c>
      <c r="U5" s="16">
        <f t="shared" ca="1" si="0"/>
        <v>14.5</v>
      </c>
      <c r="V5" s="625">
        <f t="shared" ca="1" si="0"/>
        <v>0.60416666666666663</v>
      </c>
      <c r="W5" s="16">
        <f t="shared" ca="1" si="0"/>
        <v>1</v>
      </c>
      <c r="X5" s="16">
        <f t="shared" ca="1" si="1"/>
        <v>0</v>
      </c>
      <c r="AA5" s="16">
        <v>3</v>
      </c>
      <c r="AB5" s="16" t="str">
        <f ca="1">Idiomas!D204</f>
        <v>Algeria</v>
      </c>
      <c r="AC5" s="624">
        <v>1</v>
      </c>
      <c r="AD5" s="625">
        <f t="shared" si="4"/>
        <v>4.1666666666666664E-2</v>
      </c>
      <c r="AE5" s="16">
        <v>0</v>
      </c>
      <c r="AF5" s="16">
        <f t="shared" ca="1" si="5"/>
        <v>5</v>
      </c>
      <c r="AG5" s="625">
        <f t="shared" ca="1" si="6"/>
        <v>0.20833333333333334</v>
      </c>
      <c r="AH5" s="16">
        <f t="shared" ca="1" si="7"/>
        <v>1</v>
      </c>
      <c r="AI5" s="16">
        <f t="shared" ca="1" si="8"/>
        <v>1</v>
      </c>
    </row>
    <row r="6" spans="1:35" ht="16" x14ac:dyDescent="0.2">
      <c r="A6" s="594">
        <v>46191.5</v>
      </c>
      <c r="B6" s="16"/>
      <c r="C6" s="594">
        <f t="shared" ca="1" si="2"/>
        <v>46191.5</v>
      </c>
      <c r="D6" s="622"/>
      <c r="E6" s="622"/>
      <c r="P6" s="16">
        <v>4</v>
      </c>
      <c r="Q6" s="16" t="str">
        <f t="shared" ca="1" si="3"/>
        <v>Austria</v>
      </c>
      <c r="R6" s="16">
        <f t="shared" ca="1" si="0"/>
        <v>2</v>
      </c>
      <c r="S6" s="625">
        <f t="shared" ca="1" si="0"/>
        <v>8.3333333333333329E-2</v>
      </c>
      <c r="T6" s="16">
        <f t="shared" ca="1" si="0"/>
        <v>0</v>
      </c>
      <c r="U6" s="16">
        <f t="shared" ca="1" si="0"/>
        <v>6</v>
      </c>
      <c r="V6" s="625">
        <f t="shared" ca="1" si="0"/>
        <v>0.25</v>
      </c>
      <c r="W6" s="16">
        <f t="shared" ca="1" si="0"/>
        <v>1</v>
      </c>
      <c r="X6" s="16">
        <f t="shared" ca="1" si="1"/>
        <v>0</v>
      </c>
      <c r="AA6" s="16">
        <v>4</v>
      </c>
      <c r="AB6" s="16" t="str">
        <f ca="1">Idiomas!D205</f>
        <v>Argentina</v>
      </c>
      <c r="AC6" s="624">
        <v>-3</v>
      </c>
      <c r="AD6" s="625">
        <f t="shared" si="4"/>
        <v>0.125</v>
      </c>
      <c r="AE6" s="16">
        <v>0</v>
      </c>
      <c r="AF6" s="16">
        <f t="shared" ca="1" si="5"/>
        <v>1</v>
      </c>
      <c r="AG6" s="625">
        <f t="shared" ca="1" si="6"/>
        <v>4.1666666666666664E-2</v>
      </c>
      <c r="AH6" s="16">
        <f t="shared" ca="1" si="7"/>
        <v>1</v>
      </c>
      <c r="AI6" s="16">
        <f t="shared" ca="1" si="8"/>
        <v>2</v>
      </c>
    </row>
    <row r="7" spans="1:35" ht="16" x14ac:dyDescent="0.2">
      <c r="A7" s="594">
        <v>46191.875</v>
      </c>
      <c r="B7" s="16"/>
      <c r="C7" s="594">
        <f t="shared" ca="1" si="2"/>
        <v>46191.875</v>
      </c>
      <c r="D7" s="622"/>
      <c r="E7" s="622"/>
      <c r="P7" s="16">
        <v>5</v>
      </c>
      <c r="Q7" s="16" t="str">
        <f t="shared" ca="1" si="3"/>
        <v>Belgium</v>
      </c>
      <c r="R7" s="16">
        <f t="shared" ca="1" si="0"/>
        <v>2</v>
      </c>
      <c r="S7" s="625">
        <f t="shared" ca="1" si="0"/>
        <v>8.3333333333333329E-2</v>
      </c>
      <c r="T7" s="16">
        <f t="shared" ca="1" si="0"/>
        <v>0</v>
      </c>
      <c r="U7" s="16">
        <f t="shared" ca="1" si="0"/>
        <v>6</v>
      </c>
      <c r="V7" s="625">
        <f t="shared" ca="1" si="0"/>
        <v>0.25</v>
      </c>
      <c r="W7" s="16">
        <f t="shared" ca="1" si="0"/>
        <v>1</v>
      </c>
      <c r="X7" s="16">
        <f t="shared" ca="1" si="1"/>
        <v>0</v>
      </c>
      <c r="AA7" s="16">
        <v>5</v>
      </c>
      <c r="AB7" s="16" t="str">
        <f ca="1">Idiomas!D206</f>
        <v>Australia</v>
      </c>
      <c r="AC7" s="624">
        <v>10.5</v>
      </c>
      <c r="AD7" s="625">
        <f t="shared" si="4"/>
        <v>0.4375</v>
      </c>
      <c r="AE7" s="16">
        <v>0</v>
      </c>
      <c r="AF7" s="16">
        <f t="shared" ca="1" si="5"/>
        <v>14.5</v>
      </c>
      <c r="AG7" s="625">
        <f t="shared" ca="1" si="6"/>
        <v>0.60416666666666663</v>
      </c>
      <c r="AH7" s="16">
        <f t="shared" ca="1" si="7"/>
        <v>1</v>
      </c>
      <c r="AI7" s="16">
        <f t="shared" ca="1" si="8"/>
        <v>3</v>
      </c>
    </row>
    <row r="8" spans="1:35" ht="16" x14ac:dyDescent="0.2">
      <c r="A8" s="594">
        <v>46197.875</v>
      </c>
      <c r="B8" s="16"/>
      <c r="C8" s="594">
        <f t="shared" ca="1" si="2"/>
        <v>46197.875</v>
      </c>
      <c r="D8" s="622"/>
      <c r="E8" s="622"/>
      <c r="P8" s="16">
        <v>6</v>
      </c>
      <c r="Q8" s="16" t="str">
        <f t="shared" ca="1" si="3"/>
        <v>Bosnia and Herzegovina</v>
      </c>
      <c r="R8" s="16">
        <f t="shared" ca="1" si="0"/>
        <v>2</v>
      </c>
      <c r="S8" s="625">
        <f t="shared" ca="1" si="0"/>
        <v>8.3333333333333329E-2</v>
      </c>
      <c r="T8" s="16">
        <f t="shared" ca="1" si="0"/>
        <v>0</v>
      </c>
      <c r="U8" s="16">
        <f t="shared" ca="1" si="0"/>
        <v>6</v>
      </c>
      <c r="V8" s="625">
        <f t="shared" ca="1" si="0"/>
        <v>0.25</v>
      </c>
      <c r="W8" s="16">
        <f t="shared" ca="1" si="0"/>
        <v>1</v>
      </c>
      <c r="X8" s="16">
        <f t="shared" ca="1" si="1"/>
        <v>0</v>
      </c>
      <c r="AA8" s="16">
        <v>6</v>
      </c>
      <c r="AB8" s="16" t="str">
        <f ca="1">Idiomas!D207</f>
        <v>Austria</v>
      </c>
      <c r="AC8" s="624">
        <v>2</v>
      </c>
      <c r="AD8" s="625">
        <f t="shared" si="4"/>
        <v>8.3333333333333329E-2</v>
      </c>
      <c r="AE8" s="16">
        <v>0</v>
      </c>
      <c r="AF8" s="16">
        <f t="shared" ca="1" si="5"/>
        <v>6</v>
      </c>
      <c r="AG8" s="625">
        <f t="shared" ca="1" si="6"/>
        <v>0.25</v>
      </c>
      <c r="AH8" s="16">
        <f t="shared" ca="1" si="7"/>
        <v>1</v>
      </c>
      <c r="AI8" s="16">
        <f t="shared" ca="1" si="8"/>
        <v>4</v>
      </c>
    </row>
    <row r="9" spans="1:35" ht="16" x14ac:dyDescent="0.2">
      <c r="A9" s="594">
        <v>46197.875</v>
      </c>
      <c r="B9" s="16"/>
      <c r="C9" s="594">
        <f t="shared" ca="1" si="2"/>
        <v>46197.875</v>
      </c>
      <c r="D9" s="622"/>
      <c r="E9" s="622"/>
      <c r="P9" s="16">
        <v>7</v>
      </c>
      <c r="Q9" s="16" t="str">
        <f t="shared" ca="1" si="3"/>
        <v>Brazil</v>
      </c>
      <c r="R9" s="16">
        <f t="shared" ca="1" si="0"/>
        <v>-3</v>
      </c>
      <c r="S9" s="625">
        <f t="shared" ca="1" si="0"/>
        <v>0.125</v>
      </c>
      <c r="T9" s="16">
        <f t="shared" ca="1" si="0"/>
        <v>0</v>
      </c>
      <c r="U9" s="16">
        <f t="shared" ca="1" si="0"/>
        <v>1</v>
      </c>
      <c r="V9" s="625">
        <f t="shared" ca="1" si="0"/>
        <v>4.1666666666666664E-2</v>
      </c>
      <c r="W9" s="16">
        <f t="shared" ca="1" si="0"/>
        <v>1</v>
      </c>
      <c r="X9" s="16">
        <f t="shared" ca="1" si="1"/>
        <v>0</v>
      </c>
      <c r="AA9" s="16">
        <v>7</v>
      </c>
      <c r="AB9" s="16" t="str">
        <f ca="1">Idiomas!D208</f>
        <v>Belgium</v>
      </c>
      <c r="AC9" s="624">
        <v>2</v>
      </c>
      <c r="AD9" s="625">
        <f t="shared" si="4"/>
        <v>8.3333333333333329E-2</v>
      </c>
      <c r="AE9" s="16">
        <v>0</v>
      </c>
      <c r="AF9" s="16">
        <f t="shared" ca="1" si="5"/>
        <v>6</v>
      </c>
      <c r="AG9" s="625">
        <f t="shared" ca="1" si="6"/>
        <v>0.25</v>
      </c>
      <c r="AH9" s="16">
        <f t="shared" ca="1" si="7"/>
        <v>1</v>
      </c>
      <c r="AI9" s="16">
        <f t="shared" ca="1" si="8"/>
        <v>5</v>
      </c>
    </row>
    <row r="10" spans="1:35" ht="16" x14ac:dyDescent="0.2">
      <c r="A10" s="16"/>
      <c r="B10" s="16"/>
      <c r="C10" s="594"/>
      <c r="P10" s="16">
        <v>8</v>
      </c>
      <c r="Q10" s="16" t="str">
        <f t="shared" ca="1" si="3"/>
        <v>Canada</v>
      </c>
      <c r="R10" s="16">
        <f t="shared" ca="1" si="0"/>
        <v>-4</v>
      </c>
      <c r="S10" s="625">
        <f t="shared" ca="1" si="0"/>
        <v>0.16666666666666666</v>
      </c>
      <c r="T10" s="16">
        <f t="shared" ca="1" si="0"/>
        <v>0</v>
      </c>
      <c r="U10" s="16">
        <f t="shared" ca="1" si="0"/>
        <v>0</v>
      </c>
      <c r="V10" s="625">
        <f t="shared" ca="1" si="0"/>
        <v>0</v>
      </c>
      <c r="W10" s="16">
        <f t="shared" ca="1" si="0"/>
        <v>0</v>
      </c>
      <c r="X10" s="16">
        <f t="shared" ca="1" si="1"/>
        <v>0</v>
      </c>
      <c r="AA10" s="16">
        <v>8</v>
      </c>
      <c r="AB10" s="16" t="str">
        <f ca="1">Idiomas!D209</f>
        <v>Brazil</v>
      </c>
      <c r="AC10" s="624">
        <v>-3</v>
      </c>
      <c r="AD10" s="625">
        <f t="shared" si="4"/>
        <v>0.125</v>
      </c>
      <c r="AE10" s="16">
        <v>0</v>
      </c>
      <c r="AF10" s="16">
        <f t="shared" ca="1" si="5"/>
        <v>1</v>
      </c>
      <c r="AG10" s="625">
        <f t="shared" ca="1" si="6"/>
        <v>4.1666666666666664E-2</v>
      </c>
      <c r="AH10" s="16">
        <f t="shared" ca="1" si="7"/>
        <v>1</v>
      </c>
      <c r="AI10" s="16">
        <f t="shared" ca="1" si="8"/>
        <v>7</v>
      </c>
    </row>
    <row r="11" spans="1:35" ht="16" x14ac:dyDescent="0.2">
      <c r="A11" s="9" t="s">
        <v>42</v>
      </c>
      <c r="B11" s="16"/>
      <c r="C11" s="594"/>
      <c r="P11" s="16">
        <v>9</v>
      </c>
      <c r="Q11" s="16" t="str">
        <f t="shared" ca="1" si="3"/>
        <v>Cape Verde</v>
      </c>
      <c r="R11" s="16">
        <f t="shared" ca="1" si="0"/>
        <v>-1</v>
      </c>
      <c r="S11" s="625">
        <f t="shared" ca="1" si="0"/>
        <v>4.1666666666666664E-2</v>
      </c>
      <c r="T11" s="16">
        <f t="shared" ca="1" si="0"/>
        <v>0</v>
      </c>
      <c r="U11" s="16">
        <f t="shared" ca="1" si="0"/>
        <v>3</v>
      </c>
      <c r="V11" s="625">
        <f t="shared" ca="1" si="0"/>
        <v>0.125</v>
      </c>
      <c r="W11" s="16">
        <f t="shared" ca="1" si="0"/>
        <v>1</v>
      </c>
      <c r="X11" s="16">
        <f t="shared" ca="1" si="1"/>
        <v>0</v>
      </c>
      <c r="AA11" s="16">
        <v>9</v>
      </c>
      <c r="AB11" s="16" t="str">
        <f ca="1">Idiomas!D210</f>
        <v>Cape Verde</v>
      </c>
      <c r="AC11" s="624">
        <v>-1</v>
      </c>
      <c r="AD11" s="625">
        <f t="shared" si="4"/>
        <v>4.1666666666666664E-2</v>
      </c>
      <c r="AE11" s="16">
        <v>0</v>
      </c>
      <c r="AF11" s="16">
        <f t="shared" ca="1" si="5"/>
        <v>3</v>
      </c>
      <c r="AG11" s="625">
        <f t="shared" ca="1" si="6"/>
        <v>0.125</v>
      </c>
      <c r="AH11" s="16">
        <f t="shared" ca="1" si="7"/>
        <v>1</v>
      </c>
      <c r="AI11" s="16">
        <f t="shared" ca="1" si="8"/>
        <v>9</v>
      </c>
    </row>
    <row r="12" spans="1:35" ht="16" x14ac:dyDescent="0.2">
      <c r="A12" s="594">
        <v>46185.625</v>
      </c>
      <c r="B12" s="16"/>
      <c r="C12" s="594">
        <f t="shared" ref="C12:C17" ca="1" si="9">A12+INDEX($V$3:$V$86,MATCH($C$3,$P$3:$P$86,0))*INDEX($W$3:$W$86,MATCH($C$3,$P$3:$P$86,0))</f>
        <v>46185.625</v>
      </c>
      <c r="D12" s="622"/>
      <c r="E12" s="622"/>
      <c r="P12" s="16">
        <v>10</v>
      </c>
      <c r="Q12" s="16" t="str">
        <f t="shared" ca="1" si="3"/>
        <v>Colombia</v>
      </c>
      <c r="R12" s="16">
        <f t="shared" ca="1" si="0"/>
        <v>-5</v>
      </c>
      <c r="S12" s="625">
        <f t="shared" ca="1" si="0"/>
        <v>0.20833333333333334</v>
      </c>
      <c r="T12" s="16">
        <f t="shared" ca="1" si="0"/>
        <v>0</v>
      </c>
      <c r="U12" s="16">
        <f t="shared" ca="1" si="0"/>
        <v>-1</v>
      </c>
      <c r="V12" s="625">
        <f t="shared" ca="1" si="0"/>
        <v>4.1666666666666664E-2</v>
      </c>
      <c r="W12" s="16">
        <f t="shared" ca="1" si="0"/>
        <v>-1</v>
      </c>
      <c r="X12" s="16">
        <f t="shared" ca="1" si="1"/>
        <v>0</v>
      </c>
      <c r="AA12" s="16">
        <v>10</v>
      </c>
      <c r="AB12" s="16" t="str">
        <f ca="1">Idiomas!D211</f>
        <v>Canada</v>
      </c>
      <c r="AC12" s="624">
        <v>-4</v>
      </c>
      <c r="AD12" s="625">
        <f t="shared" si="4"/>
        <v>0.16666666666666666</v>
      </c>
      <c r="AE12" s="16">
        <v>0</v>
      </c>
      <c r="AF12" s="16">
        <f t="shared" ca="1" si="5"/>
        <v>0</v>
      </c>
      <c r="AG12" s="625">
        <f t="shared" ca="1" si="6"/>
        <v>0</v>
      </c>
      <c r="AH12" s="16">
        <f t="shared" ca="1" si="7"/>
        <v>0</v>
      </c>
      <c r="AI12" s="16">
        <f t="shared" ca="1" si="8"/>
        <v>8</v>
      </c>
    </row>
    <row r="13" spans="1:35" ht="16" x14ac:dyDescent="0.2">
      <c r="A13" s="594">
        <v>46186.625</v>
      </c>
      <c r="B13" s="16"/>
      <c r="C13" s="594">
        <f t="shared" ca="1" si="9"/>
        <v>46186.625</v>
      </c>
      <c r="D13" s="622"/>
      <c r="E13" s="622"/>
      <c r="P13" s="16">
        <v>11</v>
      </c>
      <c r="Q13" s="16" t="str">
        <f t="shared" ca="1" si="3"/>
        <v>Croatia</v>
      </c>
      <c r="R13" s="16">
        <f t="shared" ref="R13:W28" ca="1" si="10">+INDEX($AC$3:$AH$86,MATCH($Q13,$AB$3:$AB$86,0),MATCH(R$2,$AC$2:$AH$2,0))</f>
        <v>2</v>
      </c>
      <c r="S13" s="625">
        <f t="shared" ca="1" si="10"/>
        <v>8.3333333333333329E-2</v>
      </c>
      <c r="T13" s="16">
        <f t="shared" ca="1" si="0"/>
        <v>0</v>
      </c>
      <c r="U13" s="16">
        <f t="shared" ca="1" si="10"/>
        <v>6</v>
      </c>
      <c r="V13" s="625">
        <f t="shared" ca="1" si="10"/>
        <v>0.25</v>
      </c>
      <c r="W13" s="16">
        <f t="shared" ca="1" si="10"/>
        <v>1</v>
      </c>
      <c r="X13" s="16">
        <f t="shared" ca="1" si="1"/>
        <v>0</v>
      </c>
      <c r="AA13" s="16">
        <v>11</v>
      </c>
      <c r="AB13" s="16" t="str">
        <f ca="1">Idiomas!D212</f>
        <v>Qatar</v>
      </c>
      <c r="AC13" s="624">
        <v>3</v>
      </c>
      <c r="AD13" s="625">
        <f t="shared" si="4"/>
        <v>0.125</v>
      </c>
      <c r="AE13" s="16">
        <v>0</v>
      </c>
      <c r="AF13" s="16">
        <f t="shared" ca="1" si="5"/>
        <v>7</v>
      </c>
      <c r="AG13" s="625">
        <f t="shared" ca="1" si="6"/>
        <v>0.29166666666666669</v>
      </c>
      <c r="AH13" s="16">
        <f t="shared" ca="1" si="7"/>
        <v>1</v>
      </c>
      <c r="AI13" s="16">
        <f t="shared" ca="1" si="8"/>
        <v>35</v>
      </c>
    </row>
    <row r="14" spans="1:35" ht="16" x14ac:dyDescent="0.2">
      <c r="A14" s="594">
        <v>46191.625</v>
      </c>
      <c r="B14" s="16"/>
      <c r="C14" s="594">
        <f t="shared" ca="1" si="9"/>
        <v>46191.625</v>
      </c>
      <c r="D14" s="622"/>
      <c r="E14" s="622"/>
      <c r="P14" s="16">
        <v>12</v>
      </c>
      <c r="Q14" s="16" t="str">
        <f t="shared" ca="1" si="3"/>
        <v>Curaçao</v>
      </c>
      <c r="R14" s="16">
        <f t="shared" ca="1" si="10"/>
        <v>-4</v>
      </c>
      <c r="S14" s="625">
        <f t="shared" ca="1" si="10"/>
        <v>0.16666666666666666</v>
      </c>
      <c r="T14" s="16">
        <f t="shared" ca="1" si="0"/>
        <v>0</v>
      </c>
      <c r="U14" s="16">
        <f t="shared" ca="1" si="10"/>
        <v>0</v>
      </c>
      <c r="V14" s="625">
        <f t="shared" ca="1" si="10"/>
        <v>0</v>
      </c>
      <c r="W14" s="16">
        <f t="shared" ca="1" si="10"/>
        <v>0</v>
      </c>
      <c r="X14" s="16">
        <f t="shared" ca="1" si="1"/>
        <v>0</v>
      </c>
      <c r="AA14" s="16">
        <v>12</v>
      </c>
      <c r="AB14" s="16" t="str">
        <f ca="1">Idiomas!D213</f>
        <v>Colombia</v>
      </c>
      <c r="AC14" s="624">
        <v>-5</v>
      </c>
      <c r="AD14" s="625">
        <f t="shared" si="4"/>
        <v>0.20833333333333334</v>
      </c>
      <c r="AE14" s="16">
        <v>0</v>
      </c>
      <c r="AF14" s="16">
        <f t="shared" ca="1" si="5"/>
        <v>-1</v>
      </c>
      <c r="AG14" s="625">
        <f t="shared" ca="1" si="6"/>
        <v>4.1666666666666664E-2</v>
      </c>
      <c r="AH14" s="16">
        <f t="shared" ca="1" si="7"/>
        <v>-1</v>
      </c>
      <c r="AI14" s="16">
        <f t="shared" ca="1" si="8"/>
        <v>10</v>
      </c>
    </row>
    <row r="15" spans="1:35" ht="16" x14ac:dyDescent="0.2">
      <c r="A15" s="594">
        <v>46191.75</v>
      </c>
      <c r="B15" s="16"/>
      <c r="C15" s="594">
        <f t="shared" ca="1" si="9"/>
        <v>46191.75</v>
      </c>
      <c r="D15" s="622"/>
      <c r="E15" s="622"/>
      <c r="P15" s="16">
        <v>13</v>
      </c>
      <c r="Q15" s="16" t="str">
        <f t="shared" ca="1" si="3"/>
        <v>Czech Republic</v>
      </c>
      <c r="R15" s="16">
        <f t="shared" ca="1" si="10"/>
        <v>2</v>
      </c>
      <c r="S15" s="625">
        <f t="shared" ca="1" si="10"/>
        <v>8.3333333333333329E-2</v>
      </c>
      <c r="T15" s="16">
        <f t="shared" ca="1" si="0"/>
        <v>0</v>
      </c>
      <c r="U15" s="16">
        <f t="shared" ca="1" si="10"/>
        <v>6</v>
      </c>
      <c r="V15" s="625">
        <f t="shared" ca="1" si="10"/>
        <v>0.25</v>
      </c>
      <c r="W15" s="16">
        <f t="shared" ca="1" si="10"/>
        <v>1</v>
      </c>
      <c r="X15" s="16">
        <f t="shared" ca="1" si="1"/>
        <v>0</v>
      </c>
      <c r="AA15" s="16">
        <v>13</v>
      </c>
      <c r="AB15" s="16" t="str">
        <f ca="1">Idiomas!D214</f>
        <v>South Korea</v>
      </c>
      <c r="AC15" s="624">
        <v>9</v>
      </c>
      <c r="AD15" s="625">
        <f t="shared" si="4"/>
        <v>0.375</v>
      </c>
      <c r="AE15" s="16">
        <v>0</v>
      </c>
      <c r="AF15" s="16">
        <f t="shared" ca="1" si="5"/>
        <v>13</v>
      </c>
      <c r="AG15" s="625">
        <f t="shared" ca="1" si="6"/>
        <v>0.54166666666666663</v>
      </c>
      <c r="AH15" s="16">
        <f t="shared" ca="1" si="7"/>
        <v>1</v>
      </c>
      <c r="AI15" s="16">
        <f t="shared" ca="1" si="8"/>
        <v>40</v>
      </c>
    </row>
    <row r="16" spans="1:35" ht="16" x14ac:dyDescent="0.2">
      <c r="A16" s="594">
        <v>46197.625</v>
      </c>
      <c r="B16" s="16"/>
      <c r="C16" s="594">
        <f t="shared" ca="1" si="9"/>
        <v>46197.625</v>
      </c>
      <c r="D16" s="622"/>
      <c r="E16" s="622"/>
      <c r="P16" s="16">
        <v>14</v>
      </c>
      <c r="Q16" s="16" t="str">
        <f t="shared" ca="1" si="3"/>
        <v>DR Congo</v>
      </c>
      <c r="R16" s="16">
        <f t="shared" ca="1" si="10"/>
        <v>1</v>
      </c>
      <c r="S16" s="625">
        <f t="shared" ca="1" si="10"/>
        <v>4.1666666666666664E-2</v>
      </c>
      <c r="T16" s="16">
        <f t="shared" ca="1" si="0"/>
        <v>0</v>
      </c>
      <c r="U16" s="16">
        <f t="shared" ca="1" si="10"/>
        <v>5</v>
      </c>
      <c r="V16" s="625">
        <f t="shared" ca="1" si="10"/>
        <v>0.20833333333333334</v>
      </c>
      <c r="W16" s="16">
        <f t="shared" ca="1" si="10"/>
        <v>1</v>
      </c>
      <c r="X16" s="16">
        <f t="shared" ca="1" si="1"/>
        <v>0</v>
      </c>
      <c r="AA16" s="16">
        <v>14</v>
      </c>
      <c r="AB16" s="16" t="str">
        <f ca="1">Idiomas!D215</f>
        <v>Ivory Coast</v>
      </c>
      <c r="AC16" s="624">
        <v>0</v>
      </c>
      <c r="AD16" s="625">
        <f t="shared" si="4"/>
        <v>0</v>
      </c>
      <c r="AE16" s="16">
        <v>0</v>
      </c>
      <c r="AF16" s="16">
        <f t="shared" ca="1" si="5"/>
        <v>4</v>
      </c>
      <c r="AG16" s="625">
        <f t="shared" ca="1" si="6"/>
        <v>0.16666666666666666</v>
      </c>
      <c r="AH16" s="16">
        <f t="shared" ca="1" si="7"/>
        <v>1</v>
      </c>
      <c r="AI16" s="16">
        <f t="shared" ca="1" si="8"/>
        <v>24</v>
      </c>
    </row>
    <row r="17" spans="1:35" ht="16" x14ac:dyDescent="0.2">
      <c r="A17" s="594">
        <v>46197.625</v>
      </c>
      <c r="B17" s="16"/>
      <c r="C17" s="594">
        <f t="shared" ca="1" si="9"/>
        <v>46197.625</v>
      </c>
      <c r="D17" s="622"/>
      <c r="E17" s="622"/>
      <c r="P17" s="16">
        <v>15</v>
      </c>
      <c r="Q17" s="16" t="str">
        <f t="shared" ca="1" si="3"/>
        <v>Ecuador</v>
      </c>
      <c r="R17" s="16">
        <f t="shared" ca="1" si="10"/>
        <v>-5</v>
      </c>
      <c r="S17" s="625">
        <f t="shared" ca="1" si="10"/>
        <v>0.20833333333333334</v>
      </c>
      <c r="T17" s="16">
        <f t="shared" ca="1" si="0"/>
        <v>0</v>
      </c>
      <c r="U17" s="16">
        <f t="shared" ca="1" si="10"/>
        <v>-1</v>
      </c>
      <c r="V17" s="625">
        <f t="shared" ca="1" si="10"/>
        <v>4.1666666666666664E-2</v>
      </c>
      <c r="W17" s="16">
        <f t="shared" ca="1" si="10"/>
        <v>-1</v>
      </c>
      <c r="X17" s="16">
        <f t="shared" ca="1" si="1"/>
        <v>0</v>
      </c>
      <c r="AA17" s="16">
        <v>15</v>
      </c>
      <c r="AB17" s="16" t="str">
        <f ca="1">Idiomas!D216</f>
        <v>Croatia</v>
      </c>
      <c r="AC17" s="624">
        <v>2</v>
      </c>
      <c r="AD17" s="625">
        <f t="shared" si="4"/>
        <v>8.3333333333333329E-2</v>
      </c>
      <c r="AE17" s="16">
        <v>0</v>
      </c>
      <c r="AF17" s="16">
        <f t="shared" ca="1" si="5"/>
        <v>6</v>
      </c>
      <c r="AG17" s="625">
        <f t="shared" ca="1" si="6"/>
        <v>0.25</v>
      </c>
      <c r="AH17" s="16">
        <f t="shared" ca="1" si="7"/>
        <v>1</v>
      </c>
      <c r="AI17" s="16">
        <f t="shared" ca="1" si="8"/>
        <v>11</v>
      </c>
    </row>
    <row r="18" spans="1:35" ht="16" x14ac:dyDescent="0.2">
      <c r="A18" s="16"/>
      <c r="B18" s="16"/>
      <c r="C18" s="594"/>
      <c r="P18" s="16">
        <v>16</v>
      </c>
      <c r="Q18" s="16" t="str">
        <f t="shared" ca="1" si="3"/>
        <v>Egypt</v>
      </c>
      <c r="R18" s="16">
        <f t="shared" ca="1" si="10"/>
        <v>3</v>
      </c>
      <c r="S18" s="625">
        <f t="shared" ca="1" si="10"/>
        <v>0.125</v>
      </c>
      <c r="T18" s="16">
        <f t="shared" ca="1" si="0"/>
        <v>0</v>
      </c>
      <c r="U18" s="16">
        <f t="shared" ca="1" si="10"/>
        <v>7</v>
      </c>
      <c r="V18" s="625">
        <f t="shared" ca="1" si="10"/>
        <v>0.29166666666666669</v>
      </c>
      <c r="W18" s="16">
        <f t="shared" ca="1" si="10"/>
        <v>1</v>
      </c>
      <c r="X18" s="16">
        <f t="shared" ca="1" si="1"/>
        <v>0</v>
      </c>
      <c r="AA18" s="16">
        <v>16</v>
      </c>
      <c r="AB18" s="16" t="str">
        <f ca="1">Idiomas!D217</f>
        <v>Curaçao</v>
      </c>
      <c r="AC18" s="624">
        <v>-4</v>
      </c>
      <c r="AD18" s="625">
        <f t="shared" si="4"/>
        <v>0.16666666666666666</v>
      </c>
      <c r="AE18" s="16">
        <v>0</v>
      </c>
      <c r="AF18" s="16">
        <f t="shared" ca="1" si="5"/>
        <v>0</v>
      </c>
      <c r="AG18" s="625">
        <f t="shared" ca="1" si="6"/>
        <v>0</v>
      </c>
      <c r="AH18" s="16">
        <f t="shared" ca="1" si="7"/>
        <v>0</v>
      </c>
      <c r="AI18" s="16">
        <f t="shared" ca="1" si="8"/>
        <v>12</v>
      </c>
    </row>
    <row r="19" spans="1:35" ht="16" x14ac:dyDescent="0.2">
      <c r="A19" s="9" t="s">
        <v>9</v>
      </c>
      <c r="B19" s="16"/>
      <c r="C19" s="594"/>
      <c r="P19" s="16">
        <v>17</v>
      </c>
      <c r="Q19" s="16" t="str">
        <f t="shared" ca="1" si="3"/>
        <v>England</v>
      </c>
      <c r="R19" s="16">
        <f t="shared" ca="1" si="10"/>
        <v>1</v>
      </c>
      <c r="S19" s="625">
        <f t="shared" ca="1" si="10"/>
        <v>4.1666666666666664E-2</v>
      </c>
      <c r="T19" s="16">
        <f t="shared" ca="1" si="10"/>
        <v>0</v>
      </c>
      <c r="U19" s="16">
        <f t="shared" ca="1" si="10"/>
        <v>5</v>
      </c>
      <c r="V19" s="625">
        <f t="shared" ca="1" si="10"/>
        <v>0.20833333333333334</v>
      </c>
      <c r="W19" s="16">
        <f t="shared" ca="1" si="10"/>
        <v>1</v>
      </c>
      <c r="X19" s="16">
        <f t="shared" ca="1" si="1"/>
        <v>0</v>
      </c>
      <c r="AA19" s="16">
        <v>17</v>
      </c>
      <c r="AB19" s="16" t="str">
        <f ca="1">Idiomas!D218</f>
        <v>Ecuador</v>
      </c>
      <c r="AC19" s="624">
        <v>-5</v>
      </c>
      <c r="AD19" s="625">
        <f t="shared" si="4"/>
        <v>0.20833333333333334</v>
      </c>
      <c r="AE19" s="16">
        <v>0</v>
      </c>
      <c r="AF19" s="16">
        <f t="shared" ca="1" si="5"/>
        <v>-1</v>
      </c>
      <c r="AG19" s="625">
        <f t="shared" ca="1" si="6"/>
        <v>4.1666666666666664E-2</v>
      </c>
      <c r="AH19" s="16">
        <f t="shared" ca="1" si="7"/>
        <v>-1</v>
      </c>
      <c r="AI19" s="16">
        <f t="shared" ca="1" si="8"/>
        <v>15</v>
      </c>
    </row>
    <row r="20" spans="1:35" ht="16" x14ac:dyDescent="0.2">
      <c r="A20" s="594">
        <v>46186.75</v>
      </c>
      <c r="B20" s="16"/>
      <c r="C20" s="594">
        <f t="shared" ref="C20:C25" ca="1" si="11">A20+INDEX($V$3:$V$86,MATCH($C$3,$P$3:$P$86,0))*INDEX($W$3:$W$86,MATCH($C$3,$P$3:$P$86,0))</f>
        <v>46186.75</v>
      </c>
      <c r="D20" s="622"/>
      <c r="E20" s="622"/>
      <c r="P20" s="16">
        <v>18</v>
      </c>
      <c r="Q20" s="16" t="str">
        <f t="shared" ca="1" si="3"/>
        <v>France</v>
      </c>
      <c r="R20" s="16">
        <f t="shared" ca="1" si="10"/>
        <v>2</v>
      </c>
      <c r="S20" s="625">
        <f t="shared" ca="1" si="10"/>
        <v>8.3333333333333329E-2</v>
      </c>
      <c r="T20" s="16">
        <f t="shared" ca="1" si="10"/>
        <v>0</v>
      </c>
      <c r="U20" s="16">
        <f t="shared" ca="1" si="10"/>
        <v>6</v>
      </c>
      <c r="V20" s="625">
        <f t="shared" ca="1" si="10"/>
        <v>0.25</v>
      </c>
      <c r="W20" s="16">
        <f t="shared" ca="1" si="10"/>
        <v>1</v>
      </c>
      <c r="X20" s="16">
        <f t="shared" ca="1" si="1"/>
        <v>0</v>
      </c>
      <c r="AA20" s="16">
        <v>18</v>
      </c>
      <c r="AB20" s="16" t="str">
        <f ca="1">Idiomas!D219</f>
        <v>Egypt</v>
      </c>
      <c r="AC20" s="624">
        <v>3</v>
      </c>
      <c r="AD20" s="625">
        <f t="shared" si="4"/>
        <v>0.125</v>
      </c>
      <c r="AE20" s="16">
        <v>0</v>
      </c>
      <c r="AF20" s="16">
        <f t="shared" ca="1" si="5"/>
        <v>7</v>
      </c>
      <c r="AG20" s="625">
        <f t="shared" ca="1" si="6"/>
        <v>0.29166666666666669</v>
      </c>
      <c r="AH20" s="16">
        <f t="shared" ca="1" si="7"/>
        <v>1</v>
      </c>
      <c r="AI20" s="16">
        <f t="shared" ca="1" si="8"/>
        <v>16</v>
      </c>
    </row>
    <row r="21" spans="1:35" ht="16" x14ac:dyDescent="0.2">
      <c r="A21" s="594">
        <v>46186.875</v>
      </c>
      <c r="B21" s="16"/>
      <c r="C21" s="594">
        <f t="shared" ca="1" si="11"/>
        <v>46186.875</v>
      </c>
      <c r="D21" s="622"/>
      <c r="E21" s="622"/>
      <c r="P21" s="16">
        <v>19</v>
      </c>
      <c r="Q21" s="16" t="str">
        <f t="shared" ca="1" si="3"/>
        <v>Germany</v>
      </c>
      <c r="R21" s="16">
        <f t="shared" ca="1" si="10"/>
        <v>2</v>
      </c>
      <c r="S21" s="625">
        <f t="shared" ca="1" si="10"/>
        <v>8.3333333333333329E-2</v>
      </c>
      <c r="T21" s="16">
        <f t="shared" ca="1" si="10"/>
        <v>0</v>
      </c>
      <c r="U21" s="16">
        <f t="shared" ca="1" si="10"/>
        <v>6</v>
      </c>
      <c r="V21" s="625">
        <f t="shared" ca="1" si="10"/>
        <v>0.25</v>
      </c>
      <c r="W21" s="16">
        <f t="shared" ca="1" si="10"/>
        <v>1</v>
      </c>
      <c r="X21" s="16">
        <f t="shared" ca="1" si="1"/>
        <v>0</v>
      </c>
      <c r="AA21" s="16">
        <v>19</v>
      </c>
      <c r="AB21" s="16" t="str">
        <f ca="1">Idiomas!D220</f>
        <v>Scotland</v>
      </c>
      <c r="AC21" s="624">
        <v>1</v>
      </c>
      <c r="AD21" s="625">
        <f t="shared" si="4"/>
        <v>4.1666666666666664E-2</v>
      </c>
      <c r="AE21" s="16">
        <v>0</v>
      </c>
      <c r="AF21" s="16">
        <f t="shared" ca="1" si="5"/>
        <v>5</v>
      </c>
      <c r="AG21" s="625">
        <f t="shared" ca="1" si="6"/>
        <v>0.20833333333333334</v>
      </c>
      <c r="AH21" s="16">
        <f t="shared" ca="1" si="7"/>
        <v>1</v>
      </c>
      <c r="AI21" s="16">
        <f t="shared" ca="1" si="8"/>
        <v>37</v>
      </c>
    </row>
    <row r="22" spans="1:35" ht="16" x14ac:dyDescent="0.2">
      <c r="A22" s="594">
        <v>46192.75</v>
      </c>
      <c r="B22" s="16"/>
      <c r="C22" s="594">
        <f t="shared" ca="1" si="11"/>
        <v>46192.75</v>
      </c>
      <c r="D22" s="622"/>
      <c r="E22" s="622"/>
      <c r="P22" s="16">
        <v>20</v>
      </c>
      <c r="Q22" s="16" t="str">
        <f t="shared" ca="1" si="3"/>
        <v>Ghana</v>
      </c>
      <c r="R22" s="16">
        <f t="shared" ca="1" si="10"/>
        <v>0</v>
      </c>
      <c r="S22" s="625">
        <f t="shared" ca="1" si="10"/>
        <v>0</v>
      </c>
      <c r="T22" s="16">
        <f t="shared" ca="1" si="10"/>
        <v>0</v>
      </c>
      <c r="U22" s="16">
        <f t="shared" ca="1" si="10"/>
        <v>4</v>
      </c>
      <c r="V22" s="625">
        <f t="shared" ca="1" si="10"/>
        <v>0.16666666666666666</v>
      </c>
      <c r="W22" s="16">
        <f t="shared" ca="1" si="10"/>
        <v>1</v>
      </c>
      <c r="X22" s="16">
        <f t="shared" ca="1" si="1"/>
        <v>0</v>
      </c>
      <c r="AA22" s="16">
        <v>20</v>
      </c>
      <c r="AB22" s="16" t="str">
        <f ca="1">Idiomas!D221</f>
        <v>Spain</v>
      </c>
      <c r="AC22" s="624">
        <v>2</v>
      </c>
      <c r="AD22" s="625">
        <f t="shared" si="4"/>
        <v>8.3333333333333329E-2</v>
      </c>
      <c r="AE22" s="16">
        <v>0</v>
      </c>
      <c r="AF22" s="16">
        <f t="shared" ca="1" si="5"/>
        <v>6</v>
      </c>
      <c r="AG22" s="625">
        <f t="shared" ca="1" si="6"/>
        <v>0.25</v>
      </c>
      <c r="AH22" s="16">
        <f t="shared" ca="1" si="7"/>
        <v>1</v>
      </c>
      <c r="AI22" s="16">
        <f t="shared" ca="1" si="8"/>
        <v>41</v>
      </c>
    </row>
    <row r="23" spans="1:35" ht="16" x14ac:dyDescent="0.2">
      <c r="A23" s="594">
        <v>46192.854166666664</v>
      </c>
      <c r="B23" s="16"/>
      <c r="C23" s="594">
        <f t="shared" ca="1" si="11"/>
        <v>46192.854166666664</v>
      </c>
      <c r="D23" s="622"/>
      <c r="E23" s="622"/>
      <c r="P23" s="16">
        <v>21</v>
      </c>
      <c r="Q23" s="16" t="str">
        <f t="shared" ca="1" si="3"/>
        <v>Haiti</v>
      </c>
      <c r="R23" s="16">
        <f t="shared" ref="R23:W38" ca="1" si="12">+INDEX($AC$3:$AH$86,MATCH($Q23,$AB$3:$AB$86,0),MATCH(R$2,$AC$2:$AH$2,0))</f>
        <v>-4</v>
      </c>
      <c r="S23" s="625">
        <f t="shared" ca="1" si="12"/>
        <v>0.16666666666666666</v>
      </c>
      <c r="T23" s="16">
        <f t="shared" ca="1" si="10"/>
        <v>0</v>
      </c>
      <c r="U23" s="16">
        <f t="shared" ca="1" si="12"/>
        <v>0</v>
      </c>
      <c r="V23" s="625">
        <f t="shared" ca="1" si="12"/>
        <v>0</v>
      </c>
      <c r="W23" s="16">
        <f t="shared" ca="1" si="12"/>
        <v>0</v>
      </c>
      <c r="X23" s="16">
        <f t="shared" ca="1" si="1"/>
        <v>0</v>
      </c>
      <c r="AA23" s="16">
        <v>21</v>
      </c>
      <c r="AB23" s="16" t="str">
        <f ca="1">Idiomas!D222</f>
        <v>United States</v>
      </c>
      <c r="AC23" s="624">
        <v>-4</v>
      </c>
      <c r="AD23" s="625">
        <f t="shared" si="4"/>
        <v>0.16666666666666666</v>
      </c>
      <c r="AE23" s="16">
        <v>1</v>
      </c>
      <c r="AF23" s="16">
        <f t="shared" ca="1" si="5"/>
        <v>0</v>
      </c>
      <c r="AG23" s="625">
        <f t="shared" ca="1" si="6"/>
        <v>0</v>
      </c>
      <c r="AH23" s="16">
        <f t="shared" ca="1" si="7"/>
        <v>0</v>
      </c>
      <c r="AI23" s="16">
        <f t="shared" ca="1" si="8"/>
        <v>46</v>
      </c>
    </row>
    <row r="24" spans="1:35" ht="16" x14ac:dyDescent="0.2">
      <c r="A24" s="594">
        <v>46197.75</v>
      </c>
      <c r="B24" s="16"/>
      <c r="C24" s="594">
        <f t="shared" ca="1" si="11"/>
        <v>46197.75</v>
      </c>
      <c r="D24" s="622"/>
      <c r="E24" s="622"/>
      <c r="P24" s="16">
        <v>22</v>
      </c>
      <c r="Q24" s="16" t="str">
        <f t="shared" ca="1" si="3"/>
        <v>Iran</v>
      </c>
      <c r="R24" s="16">
        <f t="shared" ca="1" si="12"/>
        <v>3.5</v>
      </c>
      <c r="S24" s="625">
        <f t="shared" ca="1" si="12"/>
        <v>0.14583333333333334</v>
      </c>
      <c r="T24" s="16">
        <f t="shared" ca="1" si="10"/>
        <v>0</v>
      </c>
      <c r="U24" s="16">
        <f t="shared" ca="1" si="12"/>
        <v>7.5</v>
      </c>
      <c r="V24" s="625">
        <f t="shared" ca="1" si="12"/>
        <v>0.3125</v>
      </c>
      <c r="W24" s="16">
        <f t="shared" ca="1" si="12"/>
        <v>1</v>
      </c>
      <c r="X24" s="16">
        <f t="shared" ca="1" si="1"/>
        <v>0</v>
      </c>
      <c r="AA24" s="16">
        <v>22</v>
      </c>
      <c r="AB24" s="16" t="str">
        <f ca="1">Idiomas!D223</f>
        <v>France</v>
      </c>
      <c r="AC24" s="624">
        <v>2</v>
      </c>
      <c r="AD24" s="625">
        <f t="shared" si="4"/>
        <v>8.3333333333333329E-2</v>
      </c>
      <c r="AE24" s="16">
        <v>0</v>
      </c>
      <c r="AF24" s="16">
        <f t="shared" ca="1" si="5"/>
        <v>6</v>
      </c>
      <c r="AG24" s="625">
        <f t="shared" ca="1" si="6"/>
        <v>0.25</v>
      </c>
      <c r="AH24" s="16">
        <f t="shared" ca="1" si="7"/>
        <v>1</v>
      </c>
      <c r="AI24" s="16">
        <f t="shared" ca="1" si="8"/>
        <v>18</v>
      </c>
    </row>
    <row r="25" spans="1:35" ht="16" x14ac:dyDescent="0.2">
      <c r="A25" s="594">
        <v>46197.75</v>
      </c>
      <c r="B25" s="16"/>
      <c r="C25" s="594">
        <f t="shared" ca="1" si="11"/>
        <v>46197.75</v>
      </c>
      <c r="D25" s="622"/>
      <c r="E25" s="622"/>
      <c r="P25" s="16">
        <v>23</v>
      </c>
      <c r="Q25" s="16" t="str">
        <f t="shared" ca="1" si="3"/>
        <v>Iraq</v>
      </c>
      <c r="R25" s="16">
        <f t="shared" ca="1" si="12"/>
        <v>3</v>
      </c>
      <c r="S25" s="625">
        <f t="shared" ca="1" si="12"/>
        <v>0.125</v>
      </c>
      <c r="T25" s="16">
        <f t="shared" ca="1" si="10"/>
        <v>0</v>
      </c>
      <c r="U25" s="16">
        <f t="shared" ca="1" si="12"/>
        <v>7</v>
      </c>
      <c r="V25" s="625">
        <f t="shared" ca="1" si="12"/>
        <v>0.29166666666666669</v>
      </c>
      <c r="W25" s="16">
        <f t="shared" ca="1" si="12"/>
        <v>1</v>
      </c>
      <c r="X25" s="16">
        <f t="shared" ca="1" si="1"/>
        <v>0</v>
      </c>
      <c r="AA25" s="16">
        <v>23</v>
      </c>
      <c r="AB25" s="16" t="str">
        <f ca="1">Idiomas!D224</f>
        <v>Ghana</v>
      </c>
      <c r="AC25" s="624">
        <v>0</v>
      </c>
      <c r="AD25" s="625">
        <f t="shared" si="4"/>
        <v>0</v>
      </c>
      <c r="AE25" s="16">
        <v>0</v>
      </c>
      <c r="AF25" s="16">
        <f t="shared" ca="1" si="5"/>
        <v>4</v>
      </c>
      <c r="AG25" s="625">
        <f t="shared" ca="1" si="6"/>
        <v>0.16666666666666666</v>
      </c>
      <c r="AH25" s="16">
        <f t="shared" ca="1" si="7"/>
        <v>1</v>
      </c>
      <c r="AI25" s="16">
        <f t="shared" ca="1" si="8"/>
        <v>20</v>
      </c>
    </row>
    <row r="26" spans="1:35" ht="16" x14ac:dyDescent="0.2">
      <c r="A26" s="16"/>
      <c r="B26" s="16"/>
      <c r="C26" s="594"/>
      <c r="E26" s="622"/>
      <c r="P26" s="16">
        <v>24</v>
      </c>
      <c r="Q26" s="16" t="str">
        <f t="shared" ca="1" si="3"/>
        <v>Ivory Coast</v>
      </c>
      <c r="R26" s="16">
        <f t="shared" ca="1" si="12"/>
        <v>0</v>
      </c>
      <c r="S26" s="625">
        <f t="shared" ca="1" si="12"/>
        <v>0</v>
      </c>
      <c r="T26" s="16">
        <f t="shared" ca="1" si="10"/>
        <v>0</v>
      </c>
      <c r="U26" s="16">
        <f t="shared" ca="1" si="12"/>
        <v>4</v>
      </c>
      <c r="V26" s="625">
        <f t="shared" ca="1" si="12"/>
        <v>0.16666666666666666</v>
      </c>
      <c r="W26" s="16">
        <f t="shared" ca="1" si="12"/>
        <v>1</v>
      </c>
      <c r="X26" s="16">
        <f t="shared" ca="1" si="1"/>
        <v>0</v>
      </c>
      <c r="AA26" s="16">
        <v>24</v>
      </c>
      <c r="AB26" s="16" t="str">
        <f ca="1">Idiomas!D225</f>
        <v>Haiti</v>
      </c>
      <c r="AC26" s="624">
        <v>-4</v>
      </c>
      <c r="AD26" s="625">
        <f t="shared" si="4"/>
        <v>0.16666666666666666</v>
      </c>
      <c r="AE26" s="16">
        <v>0</v>
      </c>
      <c r="AF26" s="16">
        <f t="shared" ca="1" si="5"/>
        <v>0</v>
      </c>
      <c r="AG26" s="625">
        <f t="shared" ca="1" si="6"/>
        <v>0</v>
      </c>
      <c r="AH26" s="16">
        <f t="shared" ca="1" si="7"/>
        <v>0</v>
      </c>
      <c r="AI26" s="16">
        <f t="shared" ca="1" si="8"/>
        <v>21</v>
      </c>
    </row>
    <row r="27" spans="1:35" ht="16" x14ac:dyDescent="0.2">
      <c r="A27" s="9" t="s">
        <v>82</v>
      </c>
      <c r="B27" s="16"/>
      <c r="C27" s="594"/>
      <c r="E27" s="622"/>
      <c r="P27" s="16">
        <v>25</v>
      </c>
      <c r="Q27" s="16" t="str">
        <f t="shared" ca="1" si="3"/>
        <v>Japan</v>
      </c>
      <c r="R27" s="16">
        <f t="shared" ca="1" si="12"/>
        <v>9</v>
      </c>
      <c r="S27" s="625">
        <f t="shared" ca="1" si="12"/>
        <v>0.375</v>
      </c>
      <c r="T27" s="16">
        <f t="shared" ca="1" si="10"/>
        <v>0</v>
      </c>
      <c r="U27" s="16">
        <f t="shared" ca="1" si="12"/>
        <v>13</v>
      </c>
      <c r="V27" s="625">
        <f t="shared" ca="1" si="12"/>
        <v>0.54166666666666663</v>
      </c>
      <c r="W27" s="16">
        <f t="shared" ca="1" si="12"/>
        <v>1</v>
      </c>
      <c r="X27" s="16">
        <f t="shared" ca="1" si="1"/>
        <v>0</v>
      </c>
      <c r="AA27" s="16">
        <v>25</v>
      </c>
      <c r="AB27" s="16" t="str">
        <f ca="1">Idiomas!D226</f>
        <v>England</v>
      </c>
      <c r="AC27" s="624">
        <v>1</v>
      </c>
      <c r="AD27" s="625">
        <f t="shared" si="4"/>
        <v>4.1666666666666664E-2</v>
      </c>
      <c r="AE27" s="16">
        <v>0</v>
      </c>
      <c r="AF27" s="16">
        <f t="shared" ca="1" si="5"/>
        <v>5</v>
      </c>
      <c r="AG27" s="625">
        <f t="shared" ca="1" si="6"/>
        <v>0.20833333333333334</v>
      </c>
      <c r="AH27" s="16">
        <f t="shared" ca="1" si="7"/>
        <v>1</v>
      </c>
      <c r="AI27" s="16">
        <f t="shared" ca="1" si="8"/>
        <v>17</v>
      </c>
    </row>
    <row r="28" spans="1:35" ht="16" x14ac:dyDescent="0.2">
      <c r="A28" s="594">
        <v>46185.875</v>
      </c>
      <c r="B28" s="16"/>
      <c r="C28" s="594">
        <f t="shared" ref="C28:C33" ca="1" si="13">A28+INDEX($V$3:$V$86,MATCH($C$3,$P$3:$P$86,0))*INDEX($W$3:$W$86,MATCH($C$3,$P$3:$P$86,0))</f>
        <v>46185.875</v>
      </c>
      <c r="D28" s="622"/>
      <c r="E28" s="622"/>
      <c r="P28" s="16">
        <v>26</v>
      </c>
      <c r="Q28" s="16" t="str">
        <f t="shared" ca="1" si="3"/>
        <v>Jordan</v>
      </c>
      <c r="R28" s="16">
        <f t="shared" ca="1" si="12"/>
        <v>3</v>
      </c>
      <c r="S28" s="625">
        <f t="shared" ca="1" si="12"/>
        <v>0.125</v>
      </c>
      <c r="T28" s="16">
        <f t="shared" ca="1" si="10"/>
        <v>0</v>
      </c>
      <c r="U28" s="16">
        <f t="shared" ca="1" si="12"/>
        <v>7</v>
      </c>
      <c r="V28" s="625">
        <f t="shared" ca="1" si="12"/>
        <v>0.29166666666666669</v>
      </c>
      <c r="W28" s="16">
        <f t="shared" ca="1" si="12"/>
        <v>1</v>
      </c>
      <c r="X28" s="16">
        <f t="shared" ca="1" si="1"/>
        <v>0</v>
      </c>
      <c r="AA28" s="16">
        <v>26</v>
      </c>
      <c r="AB28" s="16" t="str">
        <f ca="1">Idiomas!D227</f>
        <v>Iran</v>
      </c>
      <c r="AC28" s="624">
        <f>+INDEX(Credits!$Y$87:$Y$91,MATCH(Credits!$EZ$6144,Credits!$U$87:$U$91,0))</f>
        <v>3.5</v>
      </c>
      <c r="AD28" s="625">
        <f t="shared" si="4"/>
        <v>0.14583333333333334</v>
      </c>
      <c r="AE28" s="16">
        <v>0</v>
      </c>
      <c r="AF28" s="16">
        <f t="shared" ca="1" si="5"/>
        <v>7.5</v>
      </c>
      <c r="AG28" s="625">
        <f t="shared" ca="1" si="6"/>
        <v>0.3125</v>
      </c>
      <c r="AH28" s="16">
        <f t="shared" ca="1" si="7"/>
        <v>1</v>
      </c>
      <c r="AI28" s="16">
        <f t="shared" ca="1" si="8"/>
        <v>22</v>
      </c>
    </row>
    <row r="29" spans="1:35" ht="16" x14ac:dyDescent="0.2">
      <c r="A29" s="594">
        <v>46187</v>
      </c>
      <c r="B29" s="16"/>
      <c r="C29" s="594">
        <f t="shared" ca="1" si="13"/>
        <v>46187</v>
      </c>
      <c r="D29" s="622"/>
      <c r="E29" s="622"/>
      <c r="P29" s="16">
        <v>27</v>
      </c>
      <c r="Q29" s="16" t="str">
        <f t="shared" ca="1" si="3"/>
        <v>Mexico</v>
      </c>
      <c r="R29" s="16">
        <f t="shared" ca="1" si="12"/>
        <v>-6</v>
      </c>
      <c r="S29" s="625">
        <f t="shared" ca="1" si="12"/>
        <v>0.25</v>
      </c>
      <c r="T29" s="16">
        <f t="shared" ca="1" si="12"/>
        <v>0</v>
      </c>
      <c r="U29" s="16">
        <f t="shared" ca="1" si="12"/>
        <v>-2</v>
      </c>
      <c r="V29" s="625">
        <f t="shared" ca="1" si="12"/>
        <v>8.3333333333333329E-2</v>
      </c>
      <c r="W29" s="16">
        <f t="shared" ca="1" si="12"/>
        <v>-1</v>
      </c>
      <c r="X29" s="16">
        <f t="shared" ca="1" si="1"/>
        <v>0</v>
      </c>
      <c r="AA29" s="16">
        <v>27</v>
      </c>
      <c r="AB29" s="16" t="str">
        <f ca="1">Idiomas!D228</f>
        <v>Japan</v>
      </c>
      <c r="AC29" s="624">
        <v>9</v>
      </c>
      <c r="AD29" s="625">
        <f t="shared" si="4"/>
        <v>0.375</v>
      </c>
      <c r="AE29" s="16">
        <v>0</v>
      </c>
      <c r="AF29" s="16">
        <f t="shared" ca="1" si="5"/>
        <v>13</v>
      </c>
      <c r="AG29" s="625">
        <f t="shared" ca="1" si="6"/>
        <v>0.54166666666666663</v>
      </c>
      <c r="AH29" s="16">
        <f t="shared" ca="1" si="7"/>
        <v>1</v>
      </c>
      <c r="AI29" s="16">
        <f t="shared" ca="1" si="8"/>
        <v>25</v>
      </c>
    </row>
    <row r="30" spans="1:35" ht="16" x14ac:dyDescent="0.2">
      <c r="A30" s="594">
        <v>46192.625</v>
      </c>
      <c r="B30" s="16"/>
      <c r="C30" s="594">
        <f t="shared" ca="1" si="13"/>
        <v>46192.625</v>
      </c>
      <c r="D30" s="622"/>
      <c r="E30" s="622"/>
      <c r="P30" s="16">
        <v>28</v>
      </c>
      <c r="Q30" s="16" t="str">
        <f t="shared" ca="1" si="3"/>
        <v>Morocco</v>
      </c>
      <c r="R30" s="16">
        <f t="shared" ca="1" si="12"/>
        <v>1</v>
      </c>
      <c r="S30" s="625">
        <f t="shared" ca="1" si="12"/>
        <v>4.1666666666666664E-2</v>
      </c>
      <c r="T30" s="16">
        <f t="shared" ca="1" si="12"/>
        <v>0</v>
      </c>
      <c r="U30" s="16">
        <f t="shared" ca="1" si="12"/>
        <v>5</v>
      </c>
      <c r="V30" s="625">
        <f t="shared" ca="1" si="12"/>
        <v>0.20833333333333334</v>
      </c>
      <c r="W30" s="16">
        <f t="shared" ca="1" si="12"/>
        <v>1</v>
      </c>
      <c r="X30" s="16">
        <f t="shared" ca="1" si="1"/>
        <v>0</v>
      </c>
      <c r="AA30" s="16">
        <v>28</v>
      </c>
      <c r="AB30" s="16" t="str">
        <f ca="1">Idiomas!D229</f>
        <v>Jordan</v>
      </c>
      <c r="AC30" s="624">
        <v>3</v>
      </c>
      <c r="AD30" s="625">
        <f t="shared" si="4"/>
        <v>0.125</v>
      </c>
      <c r="AE30" s="16">
        <v>0</v>
      </c>
      <c r="AF30" s="16">
        <f t="shared" ca="1" si="5"/>
        <v>7</v>
      </c>
      <c r="AG30" s="625">
        <f t="shared" ca="1" si="6"/>
        <v>0.29166666666666669</v>
      </c>
      <c r="AH30" s="16">
        <f t="shared" ca="1" si="7"/>
        <v>1</v>
      </c>
      <c r="AI30" s="16">
        <f t="shared" ca="1" si="8"/>
        <v>26</v>
      </c>
    </row>
    <row r="31" spans="1:35" ht="16" x14ac:dyDescent="0.2">
      <c r="A31" s="594">
        <v>46192.958333333336</v>
      </c>
      <c r="B31" s="16"/>
      <c r="C31" s="594">
        <f t="shared" ca="1" si="13"/>
        <v>46192.958333333336</v>
      </c>
      <c r="D31" s="622"/>
      <c r="E31" s="622"/>
      <c r="P31" s="16">
        <v>29</v>
      </c>
      <c r="Q31" s="16" t="str">
        <f t="shared" ca="1" si="3"/>
        <v>Netherlands</v>
      </c>
      <c r="R31" s="16">
        <f t="shared" ca="1" si="12"/>
        <v>2</v>
      </c>
      <c r="S31" s="625">
        <f t="shared" ca="1" si="12"/>
        <v>8.3333333333333329E-2</v>
      </c>
      <c r="T31" s="16">
        <f t="shared" ca="1" si="12"/>
        <v>0</v>
      </c>
      <c r="U31" s="16">
        <f t="shared" ca="1" si="12"/>
        <v>6</v>
      </c>
      <c r="V31" s="625">
        <f t="shared" ca="1" si="12"/>
        <v>0.25</v>
      </c>
      <c r="W31" s="16">
        <f t="shared" ca="1" si="12"/>
        <v>1</v>
      </c>
      <c r="X31" s="16">
        <f t="shared" ca="1" si="1"/>
        <v>0</v>
      </c>
      <c r="AA31" s="16">
        <v>29</v>
      </c>
      <c r="AB31" s="16" t="str">
        <f ca="1">Idiomas!D230</f>
        <v>Morocco</v>
      </c>
      <c r="AC31" s="624">
        <v>1</v>
      </c>
      <c r="AD31" s="625">
        <f t="shared" si="4"/>
        <v>4.1666666666666664E-2</v>
      </c>
      <c r="AE31" s="16">
        <v>0</v>
      </c>
      <c r="AF31" s="16">
        <f t="shared" ca="1" si="5"/>
        <v>5</v>
      </c>
      <c r="AG31" s="625">
        <f t="shared" ca="1" si="6"/>
        <v>0.20833333333333334</v>
      </c>
      <c r="AH31" s="16">
        <f t="shared" ca="1" si="7"/>
        <v>1</v>
      </c>
      <c r="AI31" s="16">
        <f t="shared" ca="1" si="8"/>
        <v>28</v>
      </c>
    </row>
    <row r="32" spans="1:35" ht="16" x14ac:dyDescent="0.2">
      <c r="A32" s="594">
        <v>46198.916666666664</v>
      </c>
      <c r="B32" s="16"/>
      <c r="C32" s="594">
        <f t="shared" ca="1" si="13"/>
        <v>46198.916666666664</v>
      </c>
      <c r="D32" s="622"/>
      <c r="E32" s="622"/>
      <c r="P32" s="16">
        <v>30</v>
      </c>
      <c r="Q32" s="16" t="str">
        <f t="shared" ca="1" si="3"/>
        <v>New Zealand</v>
      </c>
      <c r="R32" s="16">
        <f t="shared" ca="1" si="12"/>
        <v>12</v>
      </c>
      <c r="S32" s="625">
        <f t="shared" ca="1" si="12"/>
        <v>0.5</v>
      </c>
      <c r="T32" s="16">
        <f t="shared" ca="1" si="12"/>
        <v>0</v>
      </c>
      <c r="U32" s="16">
        <f t="shared" ca="1" si="12"/>
        <v>16</v>
      </c>
      <c r="V32" s="625">
        <f t="shared" ca="1" si="12"/>
        <v>0.66666666666666663</v>
      </c>
      <c r="W32" s="16">
        <f t="shared" ca="1" si="12"/>
        <v>1</v>
      </c>
      <c r="X32" s="16">
        <f t="shared" ca="1" si="1"/>
        <v>0</v>
      </c>
      <c r="AA32" s="16">
        <v>30</v>
      </c>
      <c r="AB32" s="16" t="str">
        <f ca="1">Idiomas!D231</f>
        <v>Mexico</v>
      </c>
      <c r="AC32" s="624">
        <v>-6</v>
      </c>
      <c r="AD32" s="625">
        <f t="shared" si="4"/>
        <v>0.25</v>
      </c>
      <c r="AE32" s="16">
        <v>0</v>
      </c>
      <c r="AF32" s="16">
        <f t="shared" ca="1" si="5"/>
        <v>-2</v>
      </c>
      <c r="AG32" s="625">
        <f t="shared" ca="1" si="6"/>
        <v>8.3333333333333329E-2</v>
      </c>
      <c r="AH32" s="16">
        <f t="shared" ca="1" si="7"/>
        <v>-1</v>
      </c>
      <c r="AI32" s="16">
        <f t="shared" ca="1" si="8"/>
        <v>27</v>
      </c>
    </row>
    <row r="33" spans="1:35" ht="16" x14ac:dyDescent="0.2">
      <c r="A33" s="594">
        <v>46198.916666666664</v>
      </c>
      <c r="B33" s="16"/>
      <c r="C33" s="594">
        <f t="shared" ca="1" si="13"/>
        <v>46198.916666666664</v>
      </c>
      <c r="D33" s="622"/>
      <c r="P33" s="16">
        <v>31</v>
      </c>
      <c r="Q33" s="16" t="str">
        <f t="shared" ca="1" si="3"/>
        <v>Norway</v>
      </c>
      <c r="R33" s="16">
        <f t="shared" ref="R33:W48" ca="1" si="14">+INDEX($AC$3:$AH$86,MATCH($Q33,$AB$3:$AB$86,0),MATCH(R$2,$AC$2:$AH$2,0))</f>
        <v>2</v>
      </c>
      <c r="S33" s="625">
        <f t="shared" ca="1" si="14"/>
        <v>8.3333333333333329E-2</v>
      </c>
      <c r="T33" s="16">
        <f t="shared" ca="1" si="12"/>
        <v>0</v>
      </c>
      <c r="U33" s="16">
        <f t="shared" ca="1" si="12"/>
        <v>6</v>
      </c>
      <c r="V33" s="625">
        <f t="shared" ca="1" si="14"/>
        <v>0.25</v>
      </c>
      <c r="W33" s="16">
        <f t="shared" ca="1" si="14"/>
        <v>1</v>
      </c>
      <c r="X33" s="16">
        <f t="shared" ca="1" si="1"/>
        <v>0</v>
      </c>
      <c r="AA33" s="16">
        <v>31</v>
      </c>
      <c r="AB33" s="16" t="str">
        <f ca="1">Idiomas!D232</f>
        <v>Norway</v>
      </c>
      <c r="AC33" s="624">
        <v>2</v>
      </c>
      <c r="AD33" s="625">
        <f t="shared" si="4"/>
        <v>8.3333333333333329E-2</v>
      </c>
      <c r="AE33" s="16">
        <v>0</v>
      </c>
      <c r="AF33" s="16">
        <f t="shared" ca="1" si="5"/>
        <v>6</v>
      </c>
      <c r="AG33" s="625">
        <f t="shared" ca="1" si="6"/>
        <v>0.25</v>
      </c>
      <c r="AH33" s="16">
        <f t="shared" ca="1" si="7"/>
        <v>1</v>
      </c>
      <c r="AI33" s="16">
        <f t="shared" ca="1" si="8"/>
        <v>31</v>
      </c>
    </row>
    <row r="34" spans="1:35" ht="16" x14ac:dyDescent="0.2">
      <c r="A34" s="16"/>
      <c r="B34" s="16"/>
      <c r="C34" s="594"/>
      <c r="P34" s="16">
        <v>32</v>
      </c>
      <c r="Q34" s="16" t="str">
        <f t="shared" ca="1" si="3"/>
        <v>Panama</v>
      </c>
      <c r="R34" s="16">
        <f t="shared" ca="1" si="14"/>
        <v>-5</v>
      </c>
      <c r="S34" s="625">
        <f t="shared" ca="1" si="14"/>
        <v>0.20833333333333334</v>
      </c>
      <c r="T34" s="16">
        <f t="shared" ca="1" si="12"/>
        <v>0</v>
      </c>
      <c r="U34" s="16">
        <f t="shared" ca="1" si="12"/>
        <v>-1</v>
      </c>
      <c r="V34" s="625">
        <f t="shared" ca="1" si="14"/>
        <v>4.1666666666666664E-2</v>
      </c>
      <c r="W34" s="16">
        <f t="shared" ca="1" si="14"/>
        <v>-1</v>
      </c>
      <c r="X34" s="16">
        <f t="shared" ca="1" si="1"/>
        <v>0</v>
      </c>
      <c r="AA34" s="16">
        <v>32</v>
      </c>
      <c r="AB34" s="16" t="str">
        <f ca="1">Idiomas!D233</f>
        <v>New Zealand</v>
      </c>
      <c r="AC34" s="624">
        <v>12</v>
      </c>
      <c r="AD34" s="625">
        <f t="shared" si="4"/>
        <v>0.5</v>
      </c>
      <c r="AE34" s="16">
        <v>0</v>
      </c>
      <c r="AF34" s="16">
        <f t="shared" ca="1" si="5"/>
        <v>16</v>
      </c>
      <c r="AG34" s="625">
        <f t="shared" ca="1" si="6"/>
        <v>0.66666666666666663</v>
      </c>
      <c r="AH34" s="16">
        <f t="shared" ca="1" si="7"/>
        <v>1</v>
      </c>
      <c r="AI34" s="16">
        <f t="shared" ca="1" si="8"/>
        <v>30</v>
      </c>
    </row>
    <row r="35" spans="1:35" ht="16" x14ac:dyDescent="0.2">
      <c r="A35" s="9" t="s">
        <v>83</v>
      </c>
      <c r="B35" s="16"/>
      <c r="C35" s="594"/>
      <c r="P35" s="16">
        <v>33</v>
      </c>
      <c r="Q35" s="16" t="str">
        <f t="shared" ca="1" si="3"/>
        <v>Paraguay</v>
      </c>
      <c r="R35" s="16">
        <f t="shared" ca="1" si="14"/>
        <v>-4</v>
      </c>
      <c r="S35" s="625">
        <f t="shared" ca="1" si="14"/>
        <v>0.16666666666666666</v>
      </c>
      <c r="T35" s="16">
        <f t="shared" ca="1" si="12"/>
        <v>0</v>
      </c>
      <c r="U35" s="16">
        <f t="shared" ca="1" si="12"/>
        <v>0</v>
      </c>
      <c r="V35" s="625">
        <f t="shared" ca="1" si="14"/>
        <v>0</v>
      </c>
      <c r="W35" s="16">
        <f t="shared" ca="1" si="14"/>
        <v>0</v>
      </c>
      <c r="X35" s="16">
        <f t="shared" ca="1" si="1"/>
        <v>0</v>
      </c>
      <c r="AA35" s="16">
        <v>33</v>
      </c>
      <c r="AB35" s="16" t="str">
        <f ca="1">Idiomas!D234</f>
        <v>Netherlands</v>
      </c>
      <c r="AC35" s="624">
        <v>2</v>
      </c>
      <c r="AD35" s="625">
        <f t="shared" si="4"/>
        <v>8.3333333333333329E-2</v>
      </c>
      <c r="AE35" s="16">
        <v>0</v>
      </c>
      <c r="AF35" s="16">
        <f t="shared" ca="1" si="5"/>
        <v>6</v>
      </c>
      <c r="AG35" s="625">
        <f t="shared" ca="1" si="6"/>
        <v>0.25</v>
      </c>
      <c r="AH35" s="16">
        <f t="shared" ca="1" si="7"/>
        <v>1</v>
      </c>
      <c r="AI35" s="16">
        <f t="shared" ca="1" si="8"/>
        <v>29</v>
      </c>
    </row>
    <row r="36" spans="1:35" ht="16" x14ac:dyDescent="0.2">
      <c r="A36" s="594">
        <v>46187.541666666664</v>
      </c>
      <c r="B36" s="16"/>
      <c r="C36" s="594">
        <f t="shared" ref="C36:C41" ca="1" si="15">A36+INDEX($V$3:$V$86,MATCH($C$3,$P$3:$P$86,0))*INDEX($W$3:$W$86,MATCH($C$3,$P$3:$P$86,0))</f>
        <v>46187.541666666664</v>
      </c>
      <c r="D36" s="622"/>
      <c r="P36" s="16">
        <v>34</v>
      </c>
      <c r="Q36" s="16" t="str">
        <f t="shared" ca="1" si="3"/>
        <v>Portugal</v>
      </c>
      <c r="R36" s="16">
        <f t="shared" ca="1" si="14"/>
        <v>1</v>
      </c>
      <c r="S36" s="625">
        <f t="shared" ca="1" si="14"/>
        <v>4.1666666666666664E-2</v>
      </c>
      <c r="T36" s="16">
        <f t="shared" ca="1" si="12"/>
        <v>0</v>
      </c>
      <c r="U36" s="16">
        <f t="shared" ca="1" si="12"/>
        <v>5</v>
      </c>
      <c r="V36" s="625">
        <f t="shared" ca="1" si="14"/>
        <v>0.20833333333333334</v>
      </c>
      <c r="W36" s="16">
        <f t="shared" ca="1" si="14"/>
        <v>1</v>
      </c>
      <c r="X36" s="16">
        <f t="shared" ca="1" si="1"/>
        <v>0</v>
      </c>
      <c r="AA36" s="16">
        <v>34</v>
      </c>
      <c r="AB36" s="16" t="str">
        <f ca="1">Idiomas!D235</f>
        <v>Panama</v>
      </c>
      <c r="AC36" s="624">
        <v>-5</v>
      </c>
      <c r="AD36" s="625">
        <f t="shared" si="4"/>
        <v>0.20833333333333334</v>
      </c>
      <c r="AE36" s="16">
        <v>0</v>
      </c>
      <c r="AF36" s="16">
        <f t="shared" ca="1" si="5"/>
        <v>-1</v>
      </c>
      <c r="AG36" s="625">
        <f t="shared" ca="1" si="6"/>
        <v>4.1666666666666664E-2</v>
      </c>
      <c r="AH36" s="16">
        <f t="shared" ca="1" si="7"/>
        <v>-1</v>
      </c>
      <c r="AI36" s="16">
        <f t="shared" ca="1" si="8"/>
        <v>32</v>
      </c>
    </row>
    <row r="37" spans="1:35" ht="16" x14ac:dyDescent="0.2">
      <c r="A37" s="594">
        <v>46187.791666666664</v>
      </c>
      <c r="B37" s="16"/>
      <c r="C37" s="594">
        <f t="shared" ca="1" si="15"/>
        <v>46187.791666666664</v>
      </c>
      <c r="D37" s="622"/>
      <c r="P37" s="16">
        <v>35</v>
      </c>
      <c r="Q37" s="16" t="str">
        <f t="shared" ca="1" si="3"/>
        <v>Qatar</v>
      </c>
      <c r="R37" s="16">
        <f t="shared" ca="1" si="14"/>
        <v>3</v>
      </c>
      <c r="S37" s="625">
        <f t="shared" ca="1" si="14"/>
        <v>0.125</v>
      </c>
      <c r="T37" s="16">
        <f t="shared" ca="1" si="12"/>
        <v>0</v>
      </c>
      <c r="U37" s="16">
        <f t="shared" ca="1" si="12"/>
        <v>7</v>
      </c>
      <c r="V37" s="625">
        <f t="shared" ca="1" si="14"/>
        <v>0.29166666666666669</v>
      </c>
      <c r="W37" s="16">
        <f t="shared" ca="1" si="14"/>
        <v>1</v>
      </c>
      <c r="X37" s="16">
        <f t="shared" ca="1" si="1"/>
        <v>0</v>
      </c>
      <c r="AA37" s="16">
        <v>35</v>
      </c>
      <c r="AB37" s="16" t="str">
        <f ca="1">Idiomas!D236</f>
        <v>Paraguay</v>
      </c>
      <c r="AC37" s="624">
        <v>-4</v>
      </c>
      <c r="AD37" s="625">
        <f t="shared" si="4"/>
        <v>0.16666666666666666</v>
      </c>
      <c r="AE37" s="16">
        <v>0</v>
      </c>
      <c r="AF37" s="16">
        <f t="shared" ca="1" si="5"/>
        <v>0</v>
      </c>
      <c r="AG37" s="625">
        <f t="shared" ca="1" si="6"/>
        <v>0</v>
      </c>
      <c r="AH37" s="16">
        <f t="shared" ca="1" si="7"/>
        <v>0</v>
      </c>
      <c r="AI37" s="16">
        <f t="shared" ca="1" si="8"/>
        <v>33</v>
      </c>
    </row>
    <row r="38" spans="1:35" ht="16" x14ac:dyDescent="0.2">
      <c r="A38" s="594">
        <v>46193.666666666664</v>
      </c>
      <c r="B38" s="16"/>
      <c r="C38" s="594">
        <f t="shared" ca="1" si="15"/>
        <v>46193.666666666664</v>
      </c>
      <c r="D38" s="622"/>
      <c r="P38" s="16">
        <v>36</v>
      </c>
      <c r="Q38" s="16" t="str">
        <f t="shared" ca="1" si="3"/>
        <v>Saudi Arabia</v>
      </c>
      <c r="R38" s="16">
        <f t="shared" ca="1" si="14"/>
        <v>3</v>
      </c>
      <c r="S38" s="625">
        <f t="shared" ca="1" si="14"/>
        <v>0.125</v>
      </c>
      <c r="T38" s="16">
        <f t="shared" ca="1" si="12"/>
        <v>0</v>
      </c>
      <c r="U38" s="16">
        <f t="shared" ca="1" si="12"/>
        <v>7</v>
      </c>
      <c r="V38" s="625">
        <f t="shared" ca="1" si="14"/>
        <v>0.29166666666666669</v>
      </c>
      <c r="W38" s="16">
        <f t="shared" ca="1" si="14"/>
        <v>1</v>
      </c>
      <c r="X38" s="16">
        <f t="shared" ca="1" si="1"/>
        <v>0</v>
      </c>
      <c r="AA38" s="16">
        <v>36</v>
      </c>
      <c r="AB38" s="16" t="str">
        <f ca="1">Idiomas!D237</f>
        <v>Portugal</v>
      </c>
      <c r="AC38" s="624">
        <v>1</v>
      </c>
      <c r="AD38" s="625">
        <f t="shared" si="4"/>
        <v>4.1666666666666664E-2</v>
      </c>
      <c r="AE38" s="16">
        <v>0</v>
      </c>
      <c r="AF38" s="16">
        <f t="shared" ca="1" si="5"/>
        <v>5</v>
      </c>
      <c r="AG38" s="625">
        <f t="shared" ca="1" si="6"/>
        <v>0.20833333333333334</v>
      </c>
      <c r="AH38" s="16">
        <f t="shared" ca="1" si="7"/>
        <v>1</v>
      </c>
      <c r="AI38" s="16">
        <f t="shared" ca="1" si="8"/>
        <v>34</v>
      </c>
    </row>
    <row r="39" spans="1:35" ht="16" x14ac:dyDescent="0.2">
      <c r="A39" s="594">
        <v>46193.833333333336</v>
      </c>
      <c r="B39" s="16"/>
      <c r="C39" s="594">
        <f t="shared" ca="1" si="15"/>
        <v>46193.833333333336</v>
      </c>
      <c r="D39" s="622"/>
      <c r="P39" s="16">
        <v>37</v>
      </c>
      <c r="Q39" s="16" t="str">
        <f t="shared" ca="1" si="3"/>
        <v>Scotland</v>
      </c>
      <c r="R39" s="16">
        <f t="shared" ca="1" si="14"/>
        <v>1</v>
      </c>
      <c r="S39" s="625">
        <f t="shared" ca="1" si="14"/>
        <v>4.1666666666666664E-2</v>
      </c>
      <c r="T39" s="16">
        <f t="shared" ca="1" si="14"/>
        <v>0</v>
      </c>
      <c r="U39" s="16">
        <f t="shared" ca="1" si="14"/>
        <v>5</v>
      </c>
      <c r="V39" s="625">
        <f t="shared" ca="1" si="14"/>
        <v>0.20833333333333334</v>
      </c>
      <c r="W39" s="16">
        <f t="shared" ca="1" si="14"/>
        <v>1</v>
      </c>
      <c r="X39" s="16">
        <f t="shared" ca="1" si="1"/>
        <v>0</v>
      </c>
      <c r="AA39" s="16">
        <v>37</v>
      </c>
      <c r="AB39" s="16" t="str">
        <f ca="1">Idiomas!D238</f>
        <v>Senegal</v>
      </c>
      <c r="AC39" s="624">
        <v>0</v>
      </c>
      <c r="AD39" s="625">
        <f t="shared" si="4"/>
        <v>0</v>
      </c>
      <c r="AE39" s="16">
        <v>0</v>
      </c>
      <c r="AF39" s="16">
        <f t="shared" ca="1" si="5"/>
        <v>4</v>
      </c>
      <c r="AG39" s="625">
        <f t="shared" ca="1" si="6"/>
        <v>0.16666666666666666</v>
      </c>
      <c r="AH39" s="16">
        <f t="shared" ca="1" si="7"/>
        <v>1</v>
      </c>
      <c r="AI39" s="16">
        <f t="shared" ca="1" si="8"/>
        <v>38</v>
      </c>
    </row>
    <row r="40" spans="1:35" ht="16" x14ac:dyDescent="0.2">
      <c r="A40" s="594">
        <v>46198.666666666664</v>
      </c>
      <c r="B40" s="16"/>
      <c r="C40" s="594">
        <f t="shared" ca="1" si="15"/>
        <v>46198.666666666664</v>
      </c>
      <c r="D40" s="622"/>
      <c r="P40" s="16">
        <v>38</v>
      </c>
      <c r="Q40" s="16" t="str">
        <f t="shared" ca="1" si="3"/>
        <v>Senegal</v>
      </c>
      <c r="R40" s="16">
        <f t="shared" ca="1" si="14"/>
        <v>0</v>
      </c>
      <c r="S40" s="625">
        <f t="shared" ca="1" si="14"/>
        <v>0</v>
      </c>
      <c r="T40" s="16">
        <f t="shared" ca="1" si="14"/>
        <v>0</v>
      </c>
      <c r="U40" s="16">
        <f t="shared" ca="1" si="14"/>
        <v>4</v>
      </c>
      <c r="V40" s="625">
        <f t="shared" ca="1" si="14"/>
        <v>0.16666666666666666</v>
      </c>
      <c r="W40" s="16">
        <f t="shared" ca="1" si="14"/>
        <v>1</v>
      </c>
      <c r="X40" s="16">
        <f t="shared" ca="1" si="1"/>
        <v>0</v>
      </c>
      <c r="AA40" s="16">
        <v>38</v>
      </c>
      <c r="AB40" s="16" t="str">
        <f ca="1">Idiomas!D239</f>
        <v>South Africa</v>
      </c>
      <c r="AC40" s="624">
        <v>2</v>
      </c>
      <c r="AD40" s="625">
        <f t="shared" si="4"/>
        <v>8.3333333333333329E-2</v>
      </c>
      <c r="AE40" s="16">
        <v>0</v>
      </c>
      <c r="AF40" s="16">
        <f t="shared" ca="1" si="5"/>
        <v>6</v>
      </c>
      <c r="AG40" s="625">
        <f t="shared" ca="1" si="6"/>
        <v>0.25</v>
      </c>
      <c r="AH40" s="16">
        <f t="shared" ca="1" si="7"/>
        <v>1</v>
      </c>
      <c r="AI40" s="16">
        <f t="shared" ca="1" si="8"/>
        <v>39</v>
      </c>
    </row>
    <row r="41" spans="1:35" ht="16" x14ac:dyDescent="0.2">
      <c r="A41" s="594">
        <v>46198.666666666664</v>
      </c>
      <c r="B41" s="16"/>
      <c r="C41" s="594">
        <f t="shared" ca="1" si="15"/>
        <v>46198.666666666664</v>
      </c>
      <c r="D41" s="622"/>
      <c r="P41" s="16">
        <v>39</v>
      </c>
      <c r="Q41" s="16" t="str">
        <f t="shared" ca="1" si="3"/>
        <v>South Africa</v>
      </c>
      <c r="R41" s="16">
        <f t="shared" ca="1" si="14"/>
        <v>2</v>
      </c>
      <c r="S41" s="625">
        <f t="shared" ca="1" si="14"/>
        <v>8.3333333333333329E-2</v>
      </c>
      <c r="T41" s="16">
        <f t="shared" ca="1" si="14"/>
        <v>0</v>
      </c>
      <c r="U41" s="16">
        <f t="shared" ca="1" si="14"/>
        <v>6</v>
      </c>
      <c r="V41" s="625">
        <f t="shared" ca="1" si="14"/>
        <v>0.25</v>
      </c>
      <c r="W41" s="16">
        <f t="shared" ca="1" si="14"/>
        <v>1</v>
      </c>
      <c r="X41" s="16">
        <f t="shared" ca="1" si="1"/>
        <v>0</v>
      </c>
      <c r="AA41" s="16">
        <v>39</v>
      </c>
      <c r="AB41" s="16" t="str">
        <f ca="1">Idiomas!D240</f>
        <v>Switzerland</v>
      </c>
      <c r="AC41" s="624">
        <v>2</v>
      </c>
      <c r="AD41" s="625">
        <f t="shared" si="4"/>
        <v>8.3333333333333329E-2</v>
      </c>
      <c r="AE41" s="16">
        <v>0</v>
      </c>
      <c r="AF41" s="16">
        <f t="shared" ca="1" si="5"/>
        <v>6</v>
      </c>
      <c r="AG41" s="625">
        <f t="shared" ca="1" si="6"/>
        <v>0.25</v>
      </c>
      <c r="AH41" s="16">
        <f t="shared" ca="1" si="7"/>
        <v>1</v>
      </c>
      <c r="AI41" s="16">
        <f t="shared" ca="1" si="8"/>
        <v>43</v>
      </c>
    </row>
    <row r="42" spans="1:35" ht="16" x14ac:dyDescent="0.2">
      <c r="A42" s="16"/>
      <c r="B42" s="16"/>
      <c r="C42" s="594"/>
      <c r="P42" s="16">
        <v>40</v>
      </c>
      <c r="Q42" s="16" t="str">
        <f t="shared" ca="1" si="3"/>
        <v>South Korea</v>
      </c>
      <c r="R42" s="16">
        <f t="shared" ca="1" si="14"/>
        <v>9</v>
      </c>
      <c r="S42" s="625">
        <f t="shared" ca="1" si="14"/>
        <v>0.375</v>
      </c>
      <c r="T42" s="16">
        <f t="shared" ca="1" si="14"/>
        <v>0</v>
      </c>
      <c r="U42" s="16">
        <f t="shared" ca="1" si="14"/>
        <v>13</v>
      </c>
      <c r="V42" s="625">
        <f t="shared" ca="1" si="14"/>
        <v>0.54166666666666663</v>
      </c>
      <c r="W42" s="16">
        <f t="shared" ca="1" si="14"/>
        <v>1</v>
      </c>
      <c r="X42" s="16">
        <f t="shared" ca="1" si="1"/>
        <v>0</v>
      </c>
      <c r="AA42" s="16">
        <v>40</v>
      </c>
      <c r="AB42" s="16" t="str">
        <f ca="1">Idiomas!D241</f>
        <v>Tunisia</v>
      </c>
      <c r="AC42" s="624">
        <v>1</v>
      </c>
      <c r="AD42" s="625">
        <f t="shared" si="4"/>
        <v>4.1666666666666664E-2</v>
      </c>
      <c r="AE42" s="16">
        <v>0</v>
      </c>
      <c r="AF42" s="16">
        <f t="shared" ca="1" si="5"/>
        <v>5</v>
      </c>
      <c r="AG42" s="625">
        <f t="shared" ca="1" si="6"/>
        <v>0.20833333333333334</v>
      </c>
      <c r="AH42" s="16">
        <f t="shared" ca="1" si="7"/>
        <v>1</v>
      </c>
      <c r="AI42" s="16">
        <f t="shared" ca="1" si="8"/>
        <v>44</v>
      </c>
    </row>
    <row r="43" spans="1:35" ht="16" x14ac:dyDescent="0.2">
      <c r="A43" s="9" t="s">
        <v>8</v>
      </c>
      <c r="B43" s="16"/>
      <c r="C43" s="594"/>
      <c r="P43" s="16">
        <v>41</v>
      </c>
      <c r="Q43" s="16" t="str">
        <f t="shared" ca="1" si="3"/>
        <v>Spain</v>
      </c>
      <c r="R43" s="16">
        <f t="shared" ref="R43:W58" ca="1" si="16">+INDEX($AC$3:$AH$86,MATCH($Q43,$AB$3:$AB$86,0),MATCH(R$2,$AC$2:$AH$2,0))</f>
        <v>2</v>
      </c>
      <c r="S43" s="625">
        <f t="shared" ca="1" si="16"/>
        <v>8.3333333333333329E-2</v>
      </c>
      <c r="T43" s="16">
        <f t="shared" ca="1" si="14"/>
        <v>0</v>
      </c>
      <c r="U43" s="16">
        <f t="shared" ca="1" si="14"/>
        <v>6</v>
      </c>
      <c r="V43" s="625">
        <f t="shared" ca="1" si="16"/>
        <v>0.25</v>
      </c>
      <c r="W43" s="16">
        <f t="shared" ca="1" si="16"/>
        <v>1</v>
      </c>
      <c r="X43" s="16">
        <f t="shared" ca="1" si="1"/>
        <v>0</v>
      </c>
      <c r="AA43" s="16">
        <v>41</v>
      </c>
      <c r="AB43" s="16" t="str">
        <f ca="1">Idiomas!D242</f>
        <v>Uruguay</v>
      </c>
      <c r="AC43" s="624">
        <v>-3</v>
      </c>
      <c r="AD43" s="625">
        <f t="shared" si="4"/>
        <v>0.125</v>
      </c>
      <c r="AE43" s="16">
        <v>0</v>
      </c>
      <c r="AF43" s="16">
        <f t="shared" ca="1" si="5"/>
        <v>1</v>
      </c>
      <c r="AG43" s="625">
        <f t="shared" ca="1" si="6"/>
        <v>4.1666666666666664E-2</v>
      </c>
      <c r="AH43" s="16">
        <f t="shared" ca="1" si="7"/>
        <v>1</v>
      </c>
      <c r="AI43" s="16">
        <f t="shared" ca="1" si="8"/>
        <v>47</v>
      </c>
    </row>
    <row r="44" spans="1:35" ht="16" x14ac:dyDescent="0.2">
      <c r="A44" s="594">
        <v>46187.666666666664</v>
      </c>
      <c r="B44" s="16"/>
      <c r="C44" s="594">
        <f t="shared" ref="C44:C49" ca="1" si="17">A44+INDEX($V$3:$V$86,MATCH($C$3,$P$3:$P$86,0))*INDEX($W$3:$W$86,MATCH($C$3,$P$3:$P$86,0))</f>
        <v>46187.666666666664</v>
      </c>
      <c r="D44" s="622"/>
      <c r="P44" s="16">
        <v>42</v>
      </c>
      <c r="Q44" s="16" t="str">
        <f t="shared" ca="1" si="3"/>
        <v>Sweden</v>
      </c>
      <c r="R44" s="16">
        <f t="shared" ca="1" si="16"/>
        <v>2</v>
      </c>
      <c r="S44" s="625">
        <f t="shared" ca="1" si="16"/>
        <v>8.3333333333333329E-2</v>
      </c>
      <c r="T44" s="16">
        <f t="shared" ca="1" si="14"/>
        <v>0</v>
      </c>
      <c r="U44" s="16">
        <f t="shared" ca="1" si="14"/>
        <v>6</v>
      </c>
      <c r="V44" s="625">
        <f t="shared" ca="1" si="16"/>
        <v>0.25</v>
      </c>
      <c r="W44" s="16">
        <f t="shared" ca="1" si="16"/>
        <v>1</v>
      </c>
      <c r="X44" s="16">
        <f t="shared" ca="1" si="1"/>
        <v>0</v>
      </c>
      <c r="AA44" s="16">
        <v>42</v>
      </c>
      <c r="AB44" s="16" t="str">
        <f ca="1">Idiomas!D243</f>
        <v>Uzbekistan</v>
      </c>
      <c r="AC44" s="624">
        <v>5</v>
      </c>
      <c r="AD44" s="625">
        <f t="shared" si="4"/>
        <v>0.20833333333333334</v>
      </c>
      <c r="AE44" s="16">
        <v>0</v>
      </c>
      <c r="AF44" s="16">
        <f t="shared" ca="1" si="5"/>
        <v>9</v>
      </c>
      <c r="AG44" s="625">
        <f t="shared" ca="1" si="6"/>
        <v>0.375</v>
      </c>
      <c r="AH44" s="16">
        <f t="shared" ca="1" si="7"/>
        <v>1</v>
      </c>
      <c r="AI44" s="16">
        <f t="shared" ca="1" si="8"/>
        <v>48</v>
      </c>
    </row>
    <row r="45" spans="1:35" x14ac:dyDescent="0.2">
      <c r="A45" s="594">
        <v>46187.916666666664</v>
      </c>
      <c r="B45" s="16"/>
      <c r="C45" s="594">
        <f t="shared" ca="1" si="17"/>
        <v>46187.916666666664</v>
      </c>
      <c r="D45" s="622"/>
      <c r="P45" s="16">
        <v>43</v>
      </c>
      <c r="Q45" s="16" t="str">
        <f t="shared" ca="1" si="3"/>
        <v>Switzerland</v>
      </c>
      <c r="R45" s="16">
        <f t="shared" ca="1" si="16"/>
        <v>2</v>
      </c>
      <c r="S45" s="625">
        <f t="shared" ca="1" si="16"/>
        <v>8.3333333333333329E-2</v>
      </c>
      <c r="T45" s="16">
        <f t="shared" ca="1" si="14"/>
        <v>0</v>
      </c>
      <c r="U45" s="16">
        <f t="shared" ca="1" si="14"/>
        <v>6</v>
      </c>
      <c r="V45" s="625">
        <f t="shared" ca="1" si="16"/>
        <v>0.25</v>
      </c>
      <c r="W45" s="16">
        <f t="shared" ca="1" si="16"/>
        <v>1</v>
      </c>
      <c r="X45" s="16">
        <f t="shared" ca="1" si="1"/>
        <v>0</v>
      </c>
      <c r="AA45" s="16">
        <v>43</v>
      </c>
      <c r="AB45" s="16" t="str">
        <f ca="1">Idiomas!D244</f>
        <v>DR Congo</v>
      </c>
      <c r="AC45" s="16">
        <v>1</v>
      </c>
      <c r="AD45" s="625">
        <f t="shared" si="4"/>
        <v>4.1666666666666664E-2</v>
      </c>
      <c r="AE45" s="16">
        <v>0</v>
      </c>
      <c r="AF45" s="16">
        <f t="shared" ca="1" si="5"/>
        <v>5</v>
      </c>
      <c r="AG45" s="625">
        <f t="shared" ca="1" si="6"/>
        <v>0.20833333333333334</v>
      </c>
      <c r="AH45" s="16">
        <f t="shared" ca="1" si="7"/>
        <v>1</v>
      </c>
      <c r="AI45" s="16">
        <f t="shared" ca="1" si="8"/>
        <v>14</v>
      </c>
    </row>
    <row r="46" spans="1:35" x14ac:dyDescent="0.2">
      <c r="A46" s="594">
        <v>46193.541666666664</v>
      </c>
      <c r="B46" s="16"/>
      <c r="C46" s="594">
        <f t="shared" ca="1" si="17"/>
        <v>46193.541666666664</v>
      </c>
      <c r="D46" s="622"/>
      <c r="P46" s="16">
        <v>44</v>
      </c>
      <c r="Q46" s="16" t="str">
        <f t="shared" ca="1" si="3"/>
        <v>Tunisia</v>
      </c>
      <c r="R46" s="16">
        <f t="shared" ca="1" si="16"/>
        <v>1</v>
      </c>
      <c r="S46" s="625">
        <f t="shared" ca="1" si="16"/>
        <v>4.1666666666666664E-2</v>
      </c>
      <c r="T46" s="16">
        <f t="shared" ca="1" si="14"/>
        <v>0</v>
      </c>
      <c r="U46" s="16">
        <f t="shared" ca="1" si="14"/>
        <v>5</v>
      </c>
      <c r="V46" s="625">
        <f t="shared" ca="1" si="16"/>
        <v>0.20833333333333334</v>
      </c>
      <c r="W46" s="16">
        <f t="shared" ca="1" si="16"/>
        <v>1</v>
      </c>
      <c r="X46" s="16">
        <f t="shared" ca="1" si="1"/>
        <v>0</v>
      </c>
      <c r="AA46" s="16">
        <v>44</v>
      </c>
      <c r="AB46" s="16" t="str">
        <f ca="1">Idiomas!D245</f>
        <v>Iraq</v>
      </c>
      <c r="AC46" s="16">
        <v>3</v>
      </c>
      <c r="AD46" s="625">
        <f t="shared" si="4"/>
        <v>0.125</v>
      </c>
      <c r="AE46" s="16">
        <v>0</v>
      </c>
      <c r="AF46" s="16">
        <f t="shared" ca="1" si="5"/>
        <v>7</v>
      </c>
      <c r="AG46" s="625">
        <f t="shared" ca="1" si="6"/>
        <v>0.29166666666666669</v>
      </c>
      <c r="AH46" s="16">
        <f t="shared" ca="1" si="7"/>
        <v>1</v>
      </c>
      <c r="AI46" s="16">
        <f t="shared" ca="1" si="8"/>
        <v>23</v>
      </c>
    </row>
    <row r="47" spans="1:35" x14ac:dyDescent="0.2">
      <c r="A47" s="594">
        <v>46194</v>
      </c>
      <c r="B47" s="16"/>
      <c r="C47" s="594">
        <f t="shared" ca="1" si="17"/>
        <v>46194</v>
      </c>
      <c r="D47" s="622"/>
      <c r="P47" s="16">
        <v>45</v>
      </c>
      <c r="Q47" s="16" t="str">
        <f t="shared" ca="1" si="3"/>
        <v>Turkey</v>
      </c>
      <c r="R47" s="16">
        <f t="shared" ca="1" si="16"/>
        <v>3</v>
      </c>
      <c r="S47" s="625">
        <f t="shared" ca="1" si="16"/>
        <v>0.125</v>
      </c>
      <c r="T47" s="16">
        <f t="shared" ca="1" si="14"/>
        <v>0</v>
      </c>
      <c r="U47" s="16">
        <f t="shared" ca="1" si="14"/>
        <v>7</v>
      </c>
      <c r="V47" s="625">
        <f t="shared" ca="1" si="16"/>
        <v>0.29166666666666669</v>
      </c>
      <c r="W47" s="16">
        <f t="shared" ca="1" si="16"/>
        <v>1</v>
      </c>
      <c r="X47" s="16">
        <f t="shared" ca="1" si="1"/>
        <v>0</v>
      </c>
      <c r="AA47" s="16">
        <v>45</v>
      </c>
      <c r="AB47" s="16" t="str">
        <f ca="1">Idiomas!D246</f>
        <v>Bosnia and Herzegovina</v>
      </c>
      <c r="AC47" s="16">
        <v>2</v>
      </c>
      <c r="AD47" s="625">
        <f t="shared" si="4"/>
        <v>8.3333333333333329E-2</v>
      </c>
      <c r="AE47" s="16">
        <v>0</v>
      </c>
      <c r="AF47" s="16">
        <f t="shared" ca="1" si="5"/>
        <v>6</v>
      </c>
      <c r="AG47" s="625">
        <f t="shared" ca="1" si="6"/>
        <v>0.25</v>
      </c>
      <c r="AH47" s="16">
        <f t="shared" ca="1" si="7"/>
        <v>1</v>
      </c>
      <c r="AI47" s="16">
        <f t="shared" ca="1" si="8"/>
        <v>6</v>
      </c>
    </row>
    <row r="48" spans="1:35" x14ac:dyDescent="0.2">
      <c r="A48" s="594">
        <v>46198.791666666664</v>
      </c>
      <c r="B48" s="16"/>
      <c r="C48" s="594">
        <f t="shared" ca="1" si="17"/>
        <v>46198.791666666664</v>
      </c>
      <c r="D48" s="622"/>
      <c r="P48" s="16">
        <v>46</v>
      </c>
      <c r="Q48" s="16" t="str">
        <f t="shared" ca="1" si="3"/>
        <v>United States</v>
      </c>
      <c r="R48" s="16">
        <f t="shared" ca="1" si="16"/>
        <v>-4</v>
      </c>
      <c r="S48" s="625">
        <f t="shared" ca="1" si="16"/>
        <v>0.16666666666666666</v>
      </c>
      <c r="T48" s="16">
        <f t="shared" ca="1" si="14"/>
        <v>1</v>
      </c>
      <c r="U48" s="16">
        <f t="shared" ca="1" si="14"/>
        <v>0</v>
      </c>
      <c r="V48" s="625">
        <f t="shared" ca="1" si="16"/>
        <v>0</v>
      </c>
      <c r="W48" s="16">
        <f t="shared" ca="1" si="16"/>
        <v>0</v>
      </c>
      <c r="X48" s="16">
        <f t="shared" ca="1" si="1"/>
        <v>1</v>
      </c>
      <c r="AA48" s="16">
        <v>46</v>
      </c>
      <c r="AB48" s="16" t="str">
        <f ca="1">Idiomas!D247</f>
        <v>Sweden</v>
      </c>
      <c r="AC48" s="16">
        <v>2</v>
      </c>
      <c r="AD48" s="625">
        <f t="shared" si="4"/>
        <v>8.3333333333333329E-2</v>
      </c>
      <c r="AE48" s="16">
        <v>0</v>
      </c>
      <c r="AF48" s="16">
        <f t="shared" ca="1" si="5"/>
        <v>6</v>
      </c>
      <c r="AG48" s="625">
        <f t="shared" ca="1" si="6"/>
        <v>0.25</v>
      </c>
      <c r="AH48" s="16">
        <f t="shared" ca="1" si="7"/>
        <v>1</v>
      </c>
      <c r="AI48" s="16">
        <f t="shared" ca="1" si="8"/>
        <v>42</v>
      </c>
    </row>
    <row r="49" spans="1:35" x14ac:dyDescent="0.2">
      <c r="A49" s="594">
        <v>46198.791666666664</v>
      </c>
      <c r="B49" s="16"/>
      <c r="C49" s="594">
        <f t="shared" ca="1" si="17"/>
        <v>46198.791666666664</v>
      </c>
      <c r="D49" s="622"/>
      <c r="P49" s="16">
        <v>47</v>
      </c>
      <c r="Q49" s="16" t="str">
        <f t="shared" ca="1" si="3"/>
        <v>Uruguay</v>
      </c>
      <c r="R49" s="16">
        <f t="shared" ca="1" si="16"/>
        <v>-3</v>
      </c>
      <c r="S49" s="625">
        <f t="shared" ca="1" si="16"/>
        <v>0.125</v>
      </c>
      <c r="T49" s="16">
        <f t="shared" ca="1" si="16"/>
        <v>0</v>
      </c>
      <c r="U49" s="16">
        <f t="shared" ca="1" si="16"/>
        <v>1</v>
      </c>
      <c r="V49" s="625">
        <f t="shared" ca="1" si="16"/>
        <v>4.1666666666666664E-2</v>
      </c>
      <c r="W49" s="16">
        <f t="shared" ca="1" si="16"/>
        <v>1</v>
      </c>
      <c r="X49" s="16">
        <f t="shared" ca="1" si="1"/>
        <v>0</v>
      </c>
      <c r="AA49" s="16">
        <v>47</v>
      </c>
      <c r="AB49" s="16" t="str">
        <f ca="1">Idiomas!D248</f>
        <v>Turkey</v>
      </c>
      <c r="AC49" s="16">
        <v>3</v>
      </c>
      <c r="AD49" s="625">
        <f t="shared" si="4"/>
        <v>0.125</v>
      </c>
      <c r="AE49" s="16">
        <v>0</v>
      </c>
      <c r="AF49" s="16">
        <f t="shared" ca="1" si="5"/>
        <v>7</v>
      </c>
      <c r="AG49" s="625">
        <f t="shared" ca="1" si="6"/>
        <v>0.29166666666666669</v>
      </c>
      <c r="AH49" s="16">
        <f t="shared" ca="1" si="7"/>
        <v>1</v>
      </c>
      <c r="AI49" s="16">
        <f t="shared" ca="1" si="8"/>
        <v>45</v>
      </c>
    </row>
    <row r="50" spans="1:35" x14ac:dyDescent="0.2">
      <c r="A50" s="16"/>
      <c r="B50" s="16"/>
      <c r="C50" s="594"/>
      <c r="P50" s="16">
        <v>48</v>
      </c>
      <c r="Q50" s="16" t="str">
        <f t="shared" ca="1" si="3"/>
        <v>Uzbekistan</v>
      </c>
      <c r="R50" s="16">
        <f t="shared" ca="1" si="16"/>
        <v>5</v>
      </c>
      <c r="S50" s="625">
        <f t="shared" ca="1" si="16"/>
        <v>0.20833333333333334</v>
      </c>
      <c r="T50" s="16">
        <f t="shared" ca="1" si="16"/>
        <v>0</v>
      </c>
      <c r="U50" s="16">
        <f t="shared" ca="1" si="16"/>
        <v>9</v>
      </c>
      <c r="V50" s="625">
        <f t="shared" ca="1" si="16"/>
        <v>0.375</v>
      </c>
      <c r="W50" s="16">
        <f t="shared" ca="1" si="16"/>
        <v>1</v>
      </c>
      <c r="X50" s="16">
        <f t="shared" ca="1" si="1"/>
        <v>0</v>
      </c>
      <c r="AA50" s="16">
        <v>48</v>
      </c>
      <c r="AB50" s="16" t="str">
        <f ca="1">Idiomas!D249</f>
        <v>Czech Republic</v>
      </c>
      <c r="AC50" s="16">
        <v>2</v>
      </c>
      <c r="AD50" s="625">
        <f t="shared" si="4"/>
        <v>8.3333333333333329E-2</v>
      </c>
      <c r="AE50" s="16">
        <v>0</v>
      </c>
      <c r="AF50" s="16">
        <f t="shared" ca="1" si="5"/>
        <v>6</v>
      </c>
      <c r="AG50" s="625">
        <f t="shared" ca="1" si="6"/>
        <v>0.25</v>
      </c>
      <c r="AH50" s="16">
        <f t="shared" ca="1" si="7"/>
        <v>1</v>
      </c>
      <c r="AI50" s="16">
        <f t="shared" ca="1" si="8"/>
        <v>13</v>
      </c>
    </row>
    <row r="51" spans="1:35" x14ac:dyDescent="0.2">
      <c r="A51" s="9" t="s">
        <v>494</v>
      </c>
      <c r="B51" s="16"/>
      <c r="C51" s="594"/>
      <c r="P51" s="16">
        <v>49</v>
      </c>
      <c r="Q51" s="16" t="s">
        <v>152</v>
      </c>
      <c r="R51" s="16">
        <f t="shared" ca="1" si="16"/>
        <v>-12</v>
      </c>
      <c r="S51" s="625">
        <f t="shared" ca="1" si="16"/>
        <v>0.5</v>
      </c>
      <c r="T51" s="16">
        <f t="shared" ca="1" si="16"/>
        <v>0</v>
      </c>
      <c r="U51" s="16">
        <f t="shared" ca="1" si="16"/>
        <v>-8</v>
      </c>
      <c r="V51" s="625">
        <f t="shared" ca="1" si="16"/>
        <v>0.33333333333333331</v>
      </c>
      <c r="W51" s="16">
        <f t="shared" ref="W51:W60" ca="1" si="18">IF(R51&gt;$M$2,1,IF(R51=$M$2,0,-1))</f>
        <v>-1</v>
      </c>
      <c r="X51" s="16"/>
      <c r="AA51" s="16">
        <v>49</v>
      </c>
      <c r="AB51" s="16" t="s">
        <v>152</v>
      </c>
      <c r="AC51" s="16">
        <v>-12</v>
      </c>
      <c r="AD51" s="625">
        <f t="shared" si="4"/>
        <v>0.5</v>
      </c>
      <c r="AE51" s="16">
        <v>0</v>
      </c>
      <c r="AF51" s="16">
        <f t="shared" ref="AF51:AF60" ca="1" si="19">AC51-$M$2</f>
        <v>-8</v>
      </c>
      <c r="AG51" s="625">
        <f t="shared" ca="1" si="6"/>
        <v>0.33333333333333331</v>
      </c>
      <c r="AH51" s="16">
        <f t="shared" ref="AH51:AH60" ca="1" si="20">IF(AC51&gt;$M$2,1,IF(AC51=$M$2,0,-1))</f>
        <v>-1</v>
      </c>
      <c r="AI51" s="16"/>
    </row>
    <row r="52" spans="1:35" x14ac:dyDescent="0.2">
      <c r="A52" s="594">
        <v>46188.625</v>
      </c>
      <c r="B52" s="16"/>
      <c r="C52" s="594">
        <f t="shared" ref="C52:C57" ca="1" si="21">A52+INDEX($V$3:$V$86,MATCH($C$3,$P$3:$P$86,0))*INDEX($W$3:$W$86,MATCH($C$3,$P$3:$P$86,0))</f>
        <v>46188.625</v>
      </c>
      <c r="D52" s="622"/>
      <c r="P52" s="16">
        <v>50</v>
      </c>
      <c r="Q52" s="16" t="s">
        <v>153</v>
      </c>
      <c r="R52" s="16">
        <f t="shared" ca="1" si="16"/>
        <v>-11</v>
      </c>
      <c r="S52" s="625">
        <f t="shared" ca="1" si="16"/>
        <v>0.45833333333333331</v>
      </c>
      <c r="T52" s="16">
        <f t="shared" ca="1" si="16"/>
        <v>0</v>
      </c>
      <c r="U52" s="16">
        <f t="shared" ca="1" si="16"/>
        <v>-7</v>
      </c>
      <c r="V52" s="625">
        <f t="shared" ca="1" si="16"/>
        <v>0.29166666666666669</v>
      </c>
      <c r="W52" s="16">
        <f t="shared" ca="1" si="18"/>
        <v>-1</v>
      </c>
      <c r="X52" s="16"/>
      <c r="AA52" s="16">
        <v>50</v>
      </c>
      <c r="AB52" s="16" t="s">
        <v>153</v>
      </c>
      <c r="AC52" s="16">
        <v>-11</v>
      </c>
      <c r="AD52" s="625">
        <f t="shared" si="4"/>
        <v>0.45833333333333331</v>
      </c>
      <c r="AE52" s="16">
        <v>0</v>
      </c>
      <c r="AF52" s="16">
        <f t="shared" ca="1" si="19"/>
        <v>-7</v>
      </c>
      <c r="AG52" s="625">
        <f t="shared" ca="1" si="6"/>
        <v>0.29166666666666669</v>
      </c>
      <c r="AH52" s="16">
        <f t="shared" ca="1" si="20"/>
        <v>-1</v>
      </c>
      <c r="AI52" s="16"/>
    </row>
    <row r="53" spans="1:35" x14ac:dyDescent="0.2">
      <c r="A53" s="594">
        <v>46188.875</v>
      </c>
      <c r="B53" s="16"/>
      <c r="C53" s="594">
        <f t="shared" ca="1" si="21"/>
        <v>46188.875</v>
      </c>
      <c r="D53" s="622"/>
      <c r="P53" s="16">
        <v>51</v>
      </c>
      <c r="Q53" s="16" t="s">
        <v>154</v>
      </c>
      <c r="R53" s="16">
        <f t="shared" ca="1" si="16"/>
        <v>-10</v>
      </c>
      <c r="S53" s="625">
        <f t="shared" ca="1" si="16"/>
        <v>0.41666666666666669</v>
      </c>
      <c r="T53" s="16">
        <f t="shared" ca="1" si="16"/>
        <v>0</v>
      </c>
      <c r="U53" s="16">
        <f t="shared" ca="1" si="16"/>
        <v>-6</v>
      </c>
      <c r="V53" s="625">
        <f t="shared" ca="1" si="16"/>
        <v>0.25</v>
      </c>
      <c r="W53" s="16">
        <f t="shared" ca="1" si="18"/>
        <v>-1</v>
      </c>
      <c r="X53" s="16"/>
      <c r="AA53" s="16">
        <v>51</v>
      </c>
      <c r="AB53" s="16" t="s">
        <v>154</v>
      </c>
      <c r="AC53" s="16">
        <v>-10</v>
      </c>
      <c r="AD53" s="625">
        <f t="shared" si="4"/>
        <v>0.41666666666666669</v>
      </c>
      <c r="AE53" s="16">
        <v>0</v>
      </c>
      <c r="AF53" s="16">
        <f t="shared" ca="1" si="19"/>
        <v>-6</v>
      </c>
      <c r="AG53" s="625">
        <f t="shared" ca="1" si="6"/>
        <v>0.25</v>
      </c>
      <c r="AH53" s="16">
        <f t="shared" ca="1" si="20"/>
        <v>-1</v>
      </c>
      <c r="AI53" s="16"/>
    </row>
    <row r="54" spans="1:35" x14ac:dyDescent="0.2">
      <c r="A54" s="594">
        <v>46194.625</v>
      </c>
      <c r="B54" s="16"/>
      <c r="C54" s="594">
        <f t="shared" ca="1" si="21"/>
        <v>46194.625</v>
      </c>
      <c r="D54" s="622"/>
      <c r="P54" s="16">
        <v>52</v>
      </c>
      <c r="Q54" s="16" t="s">
        <v>155</v>
      </c>
      <c r="R54" s="16">
        <f t="shared" ca="1" si="16"/>
        <v>-9</v>
      </c>
      <c r="S54" s="625">
        <f t="shared" ca="1" si="16"/>
        <v>0.375</v>
      </c>
      <c r="T54" s="16">
        <f t="shared" ca="1" si="16"/>
        <v>0</v>
      </c>
      <c r="U54" s="16">
        <f t="shared" ca="1" si="16"/>
        <v>-5</v>
      </c>
      <c r="V54" s="625">
        <f t="shared" ca="1" si="16"/>
        <v>0.20833333333333334</v>
      </c>
      <c r="W54" s="16">
        <f t="shared" ca="1" si="18"/>
        <v>-1</v>
      </c>
      <c r="X54" s="16"/>
      <c r="AA54" s="16">
        <v>52</v>
      </c>
      <c r="AB54" s="16" t="s">
        <v>155</v>
      </c>
      <c r="AC54" s="16">
        <v>-9</v>
      </c>
      <c r="AD54" s="625">
        <f t="shared" si="4"/>
        <v>0.375</v>
      </c>
      <c r="AE54" s="16">
        <v>0</v>
      </c>
      <c r="AF54" s="16">
        <f t="shared" ca="1" si="19"/>
        <v>-5</v>
      </c>
      <c r="AG54" s="625">
        <f t="shared" ca="1" si="6"/>
        <v>0.20833333333333334</v>
      </c>
      <c r="AH54" s="16">
        <f t="shared" ca="1" si="20"/>
        <v>-1</v>
      </c>
      <c r="AI54" s="16"/>
    </row>
    <row r="55" spans="1:35" x14ac:dyDescent="0.2">
      <c r="A55" s="594">
        <v>46194.875</v>
      </c>
      <c r="B55" s="16"/>
      <c r="C55" s="594">
        <f t="shared" ca="1" si="21"/>
        <v>46194.875</v>
      </c>
      <c r="D55" s="622"/>
      <c r="P55" s="16">
        <v>53</v>
      </c>
      <c r="Q55" s="16" t="s">
        <v>156</v>
      </c>
      <c r="R55" s="16">
        <f t="shared" ca="1" si="16"/>
        <v>-8</v>
      </c>
      <c r="S55" s="625">
        <f t="shared" ca="1" si="16"/>
        <v>0.33333333333333331</v>
      </c>
      <c r="T55" s="16">
        <f t="shared" ca="1" si="16"/>
        <v>0</v>
      </c>
      <c r="U55" s="16">
        <f t="shared" ca="1" si="16"/>
        <v>-4</v>
      </c>
      <c r="V55" s="625">
        <f t="shared" ca="1" si="16"/>
        <v>0.16666666666666666</v>
      </c>
      <c r="W55" s="16">
        <f t="shared" ca="1" si="18"/>
        <v>-1</v>
      </c>
      <c r="X55" s="16"/>
      <c r="AA55" s="16">
        <v>53</v>
      </c>
      <c r="AB55" s="16" t="s">
        <v>156</v>
      </c>
      <c r="AC55" s="16">
        <v>-8</v>
      </c>
      <c r="AD55" s="625">
        <f t="shared" si="4"/>
        <v>0.33333333333333331</v>
      </c>
      <c r="AE55" s="16">
        <v>0</v>
      </c>
      <c r="AF55" s="16">
        <f t="shared" ca="1" si="19"/>
        <v>-4</v>
      </c>
      <c r="AG55" s="625">
        <f t="shared" ca="1" si="6"/>
        <v>0.16666666666666666</v>
      </c>
      <c r="AH55" s="16">
        <f t="shared" ca="1" si="20"/>
        <v>-1</v>
      </c>
      <c r="AI55" s="16"/>
    </row>
    <row r="56" spans="1:35" x14ac:dyDescent="0.2">
      <c r="A56" s="594">
        <v>46199.958333333336</v>
      </c>
      <c r="B56" s="16"/>
      <c r="C56" s="594">
        <f t="shared" ca="1" si="21"/>
        <v>46199.958333333336</v>
      </c>
      <c r="D56" s="622"/>
      <c r="P56" s="16">
        <v>54</v>
      </c>
      <c r="Q56" s="16" t="s">
        <v>157</v>
      </c>
      <c r="R56" s="16">
        <f t="shared" ca="1" si="16"/>
        <v>-7</v>
      </c>
      <c r="S56" s="625">
        <f t="shared" ca="1" si="16"/>
        <v>0.29166666666666669</v>
      </c>
      <c r="T56" s="16">
        <f t="shared" ca="1" si="16"/>
        <v>0</v>
      </c>
      <c r="U56" s="16">
        <f t="shared" ca="1" si="16"/>
        <v>-3</v>
      </c>
      <c r="V56" s="625">
        <f t="shared" ca="1" si="16"/>
        <v>0.125</v>
      </c>
      <c r="W56" s="16">
        <f t="shared" ca="1" si="18"/>
        <v>-1</v>
      </c>
      <c r="X56" s="16"/>
      <c r="AA56" s="16">
        <v>54</v>
      </c>
      <c r="AB56" s="16" t="s">
        <v>157</v>
      </c>
      <c r="AC56" s="16">
        <v>-7</v>
      </c>
      <c r="AD56" s="625">
        <f t="shared" si="4"/>
        <v>0.29166666666666669</v>
      </c>
      <c r="AE56" s="16">
        <v>0</v>
      </c>
      <c r="AF56" s="16">
        <f t="shared" ca="1" si="19"/>
        <v>-3</v>
      </c>
      <c r="AG56" s="625">
        <f t="shared" ca="1" si="6"/>
        <v>0.125</v>
      </c>
      <c r="AH56" s="16">
        <f t="shared" ca="1" si="20"/>
        <v>-1</v>
      </c>
      <c r="AI56" s="16"/>
    </row>
    <row r="57" spans="1:35" x14ac:dyDescent="0.2">
      <c r="A57" s="594">
        <v>46199.958333333336</v>
      </c>
      <c r="B57" s="16"/>
      <c r="C57" s="594">
        <f t="shared" ca="1" si="21"/>
        <v>46199.958333333336</v>
      </c>
      <c r="D57" s="622"/>
      <c r="P57" s="16">
        <v>55</v>
      </c>
      <c r="Q57" s="16" t="s">
        <v>158</v>
      </c>
      <c r="R57" s="16">
        <f t="shared" ca="1" si="16"/>
        <v>-6</v>
      </c>
      <c r="S57" s="625">
        <f t="shared" ca="1" si="16"/>
        <v>0.25</v>
      </c>
      <c r="T57" s="16">
        <f t="shared" ca="1" si="16"/>
        <v>0</v>
      </c>
      <c r="U57" s="16">
        <f t="shared" ca="1" si="16"/>
        <v>-2</v>
      </c>
      <c r="V57" s="625">
        <f t="shared" ca="1" si="16"/>
        <v>8.3333333333333329E-2</v>
      </c>
      <c r="W57" s="16">
        <f t="shared" ca="1" si="18"/>
        <v>-1</v>
      </c>
      <c r="X57" s="16"/>
      <c r="AA57" s="16">
        <v>55</v>
      </c>
      <c r="AB57" s="16" t="s">
        <v>158</v>
      </c>
      <c r="AC57" s="16">
        <v>-6</v>
      </c>
      <c r="AD57" s="625">
        <f t="shared" si="4"/>
        <v>0.25</v>
      </c>
      <c r="AE57" s="16">
        <v>0</v>
      </c>
      <c r="AF57" s="16">
        <f t="shared" ca="1" si="19"/>
        <v>-2</v>
      </c>
      <c r="AG57" s="625">
        <f t="shared" ca="1" si="6"/>
        <v>8.3333333333333329E-2</v>
      </c>
      <c r="AH57" s="16">
        <f t="shared" ca="1" si="20"/>
        <v>-1</v>
      </c>
      <c r="AI57" s="16"/>
    </row>
    <row r="58" spans="1:35" x14ac:dyDescent="0.2">
      <c r="A58" s="16"/>
      <c r="B58" s="16"/>
      <c r="C58" s="594"/>
      <c r="P58" s="16">
        <v>56</v>
      </c>
      <c r="Q58" s="16" t="s">
        <v>159</v>
      </c>
      <c r="R58" s="16">
        <f t="shared" ca="1" si="16"/>
        <v>-5</v>
      </c>
      <c r="S58" s="625">
        <f t="shared" ca="1" si="16"/>
        <v>0.20833333333333334</v>
      </c>
      <c r="T58" s="16">
        <f t="shared" ca="1" si="16"/>
        <v>0</v>
      </c>
      <c r="U58" s="16">
        <f t="shared" ca="1" si="16"/>
        <v>-1</v>
      </c>
      <c r="V58" s="625">
        <f t="shared" ca="1" si="16"/>
        <v>4.1666666666666664E-2</v>
      </c>
      <c r="W58" s="16">
        <f t="shared" ca="1" si="18"/>
        <v>-1</v>
      </c>
      <c r="X58" s="16"/>
      <c r="AA58" s="16">
        <v>56</v>
      </c>
      <c r="AB58" s="16" t="s">
        <v>159</v>
      </c>
      <c r="AC58" s="16">
        <v>-5</v>
      </c>
      <c r="AD58" s="625">
        <f t="shared" si="4"/>
        <v>0.20833333333333334</v>
      </c>
      <c r="AE58" s="16">
        <v>0</v>
      </c>
      <c r="AF58" s="16">
        <f t="shared" ca="1" si="19"/>
        <v>-1</v>
      </c>
      <c r="AG58" s="625">
        <f t="shared" ca="1" si="6"/>
        <v>4.1666666666666664E-2</v>
      </c>
      <c r="AH58" s="16">
        <f t="shared" ca="1" si="20"/>
        <v>-1</v>
      </c>
      <c r="AI58" s="16"/>
    </row>
    <row r="59" spans="1:35" x14ac:dyDescent="0.2">
      <c r="A59" s="9" t="s">
        <v>495</v>
      </c>
      <c r="B59" s="16"/>
      <c r="C59" s="594"/>
      <c r="P59" s="16">
        <v>57</v>
      </c>
      <c r="Q59" s="16" t="s">
        <v>160</v>
      </c>
      <c r="R59" s="16">
        <f t="shared" ref="R59:R86" ca="1" si="22">+INDEX($AC$3:$AH$86,MATCH($Q59,$AB$3:$AB$86,0),MATCH(R$2,$AC$2:$AH$2,0))</f>
        <v>-4</v>
      </c>
      <c r="S59" s="625">
        <f t="shared" ref="S59:S86" ca="1" si="23">+INDEX($AC$3:$AH$86,MATCH($Q59,$AB$3:$AB$86,0),MATCH(S$2,$AC$2:$AH$2,0))</f>
        <v>0.16666666666666666</v>
      </c>
      <c r="T59" s="16">
        <f t="shared" ref="T59:T86" ca="1" si="24">+INDEX($AC$3:$AH$86,MATCH($Q59,$AB$3:$AB$86,0),MATCH(T$2,$AC$2:$AH$2,0))</f>
        <v>0</v>
      </c>
      <c r="U59" s="16">
        <f t="shared" ref="U59:U86" ca="1" si="25">+INDEX($AC$3:$AH$86,MATCH($Q59,$AB$3:$AB$86,0),MATCH(U$2,$AC$2:$AH$2,0))</f>
        <v>0</v>
      </c>
      <c r="V59" s="625">
        <f t="shared" ref="V59:V86" ca="1" si="26">+INDEX($AC$3:$AH$86,MATCH($Q59,$AB$3:$AB$86,0),MATCH(V$2,$AC$2:$AH$2,0))</f>
        <v>0</v>
      </c>
      <c r="W59" s="16">
        <f t="shared" ca="1" si="18"/>
        <v>0</v>
      </c>
      <c r="X59" s="16"/>
      <c r="AA59" s="16">
        <v>57</v>
      </c>
      <c r="AB59" s="16" t="s">
        <v>160</v>
      </c>
      <c r="AC59" s="16">
        <v>-4</v>
      </c>
      <c r="AD59" s="625">
        <f t="shared" si="4"/>
        <v>0.16666666666666666</v>
      </c>
      <c r="AE59" s="16">
        <v>0</v>
      </c>
      <c r="AF59" s="16">
        <f t="shared" ca="1" si="19"/>
        <v>0</v>
      </c>
      <c r="AG59" s="625">
        <f t="shared" ca="1" si="6"/>
        <v>0</v>
      </c>
      <c r="AH59" s="16">
        <f t="shared" ca="1" si="20"/>
        <v>0</v>
      </c>
      <c r="AI59" s="16"/>
    </row>
    <row r="60" spans="1:35" x14ac:dyDescent="0.2">
      <c r="A60" s="594">
        <v>46188.5</v>
      </c>
      <c r="B60" s="16"/>
      <c r="C60" s="594">
        <f t="shared" ref="C60:C65" ca="1" si="27">A60+INDEX($V$3:$V$86,MATCH($C$3,$P$3:$P$86,0))*INDEX($W$3:$W$86,MATCH($C$3,$P$3:$P$86,0))</f>
        <v>46188.5</v>
      </c>
      <c r="D60" s="622"/>
      <c r="P60" s="16">
        <v>58</v>
      </c>
      <c r="Q60" s="16" t="s">
        <v>376</v>
      </c>
      <c r="R60" s="16">
        <f t="shared" ca="1" si="22"/>
        <v>-3.5</v>
      </c>
      <c r="S60" s="625">
        <f t="shared" ca="1" si="23"/>
        <v>0.14583333333333334</v>
      </c>
      <c r="T60" s="16">
        <f t="shared" ca="1" si="24"/>
        <v>0</v>
      </c>
      <c r="U60" s="16">
        <f t="shared" ca="1" si="25"/>
        <v>0.5</v>
      </c>
      <c r="V60" s="625">
        <f t="shared" ca="1" si="26"/>
        <v>2.0833333333333332E-2</v>
      </c>
      <c r="W60" s="16">
        <f t="shared" ca="1" si="18"/>
        <v>1</v>
      </c>
      <c r="X60" s="16"/>
      <c r="AA60" s="16">
        <v>58</v>
      </c>
      <c r="AB60" s="16" t="s">
        <v>376</v>
      </c>
      <c r="AC60" s="16">
        <v>-3.5</v>
      </c>
      <c r="AD60" s="625">
        <f t="shared" si="4"/>
        <v>0.14583333333333334</v>
      </c>
      <c r="AE60" s="16">
        <v>0</v>
      </c>
      <c r="AF60" s="16">
        <f t="shared" ca="1" si="19"/>
        <v>0.5</v>
      </c>
      <c r="AG60" s="625">
        <f t="shared" ca="1" si="6"/>
        <v>2.0833333333333332E-2</v>
      </c>
      <c r="AH60" s="16">
        <f t="shared" ca="1" si="20"/>
        <v>1</v>
      </c>
      <c r="AI60" s="16"/>
    </row>
    <row r="61" spans="1:35" x14ac:dyDescent="0.2">
      <c r="A61" s="594">
        <v>46188.75</v>
      </c>
      <c r="B61" s="16"/>
      <c r="C61" s="594">
        <f t="shared" ca="1" si="27"/>
        <v>46188.75</v>
      </c>
      <c r="D61" s="622"/>
      <c r="P61" s="16">
        <v>59</v>
      </c>
      <c r="Q61" s="16" t="s">
        <v>161</v>
      </c>
      <c r="R61" s="16">
        <f t="shared" ca="1" si="22"/>
        <v>-3</v>
      </c>
      <c r="S61" s="625">
        <f t="shared" ca="1" si="23"/>
        <v>0.125</v>
      </c>
      <c r="T61" s="16">
        <f t="shared" ca="1" si="24"/>
        <v>0</v>
      </c>
      <c r="U61" s="16">
        <f t="shared" ca="1" si="25"/>
        <v>1</v>
      </c>
      <c r="V61" s="625">
        <f t="shared" ca="1" si="26"/>
        <v>4.1666666666666664E-2</v>
      </c>
      <c r="W61" s="16">
        <f t="shared" ref="W61:W86" ca="1" si="28">IF(R61&gt;$M$2,1,IF(R61=$M$2,0,-1))</f>
        <v>1</v>
      </c>
      <c r="X61" s="16"/>
      <c r="AA61" s="16">
        <v>59</v>
      </c>
      <c r="AB61" s="16" t="s">
        <v>161</v>
      </c>
      <c r="AC61" s="16">
        <v>-3</v>
      </c>
      <c r="AD61" s="625">
        <f t="shared" si="4"/>
        <v>0.125</v>
      </c>
      <c r="AE61" s="16">
        <v>0</v>
      </c>
      <c r="AF61" s="16">
        <f t="shared" ref="AF61:AF86" ca="1" si="29">AC61-$M$2</f>
        <v>1</v>
      </c>
      <c r="AG61" s="625">
        <f t="shared" ca="1" si="6"/>
        <v>4.1666666666666664E-2</v>
      </c>
      <c r="AH61" s="16">
        <f t="shared" ref="AH61:AH86" ca="1" si="30">IF(AC61&gt;$M$2,1,IF(AC61=$M$2,0,-1))</f>
        <v>1</v>
      </c>
      <c r="AI61" s="16"/>
    </row>
    <row r="62" spans="1:35" x14ac:dyDescent="0.2">
      <c r="A62" s="594">
        <v>46194.5</v>
      </c>
      <c r="B62" s="16"/>
      <c r="C62" s="594">
        <f t="shared" ca="1" si="27"/>
        <v>46194.5</v>
      </c>
      <c r="D62" s="622"/>
      <c r="P62" s="16">
        <v>60</v>
      </c>
      <c r="Q62" s="16" t="s">
        <v>162</v>
      </c>
      <c r="R62" s="16">
        <f t="shared" ca="1" si="22"/>
        <v>-2</v>
      </c>
      <c r="S62" s="625">
        <f t="shared" ca="1" si="23"/>
        <v>8.3333333333333329E-2</v>
      </c>
      <c r="T62" s="16">
        <f t="shared" ca="1" si="24"/>
        <v>0</v>
      </c>
      <c r="U62" s="16">
        <f t="shared" ca="1" si="25"/>
        <v>2</v>
      </c>
      <c r="V62" s="625">
        <f t="shared" ca="1" si="26"/>
        <v>8.3333333333333329E-2</v>
      </c>
      <c r="W62" s="16">
        <f t="shared" ca="1" si="28"/>
        <v>1</v>
      </c>
      <c r="X62" s="16"/>
      <c r="AA62" s="16">
        <v>60</v>
      </c>
      <c r="AB62" s="16" t="s">
        <v>162</v>
      </c>
      <c r="AC62" s="16">
        <v>-2</v>
      </c>
      <c r="AD62" s="625">
        <f t="shared" si="4"/>
        <v>8.3333333333333329E-2</v>
      </c>
      <c r="AE62" s="16">
        <v>0</v>
      </c>
      <c r="AF62" s="16">
        <f t="shared" ca="1" si="29"/>
        <v>2</v>
      </c>
      <c r="AG62" s="625">
        <f t="shared" ca="1" si="6"/>
        <v>8.3333333333333329E-2</v>
      </c>
      <c r="AH62" s="16">
        <f t="shared" ca="1" si="30"/>
        <v>1</v>
      </c>
      <c r="AI62" s="16"/>
    </row>
    <row r="63" spans="1:35" x14ac:dyDescent="0.2">
      <c r="A63" s="594">
        <v>46194.75</v>
      </c>
      <c r="B63" s="16"/>
      <c r="C63" s="594">
        <f t="shared" ca="1" si="27"/>
        <v>46194.75</v>
      </c>
      <c r="D63" s="622"/>
      <c r="P63" s="16">
        <v>61</v>
      </c>
      <c r="Q63" s="16" t="s">
        <v>163</v>
      </c>
      <c r="R63" s="16">
        <f t="shared" ca="1" si="22"/>
        <v>-1</v>
      </c>
      <c r="S63" s="625">
        <f t="shared" ca="1" si="23"/>
        <v>4.1666666666666664E-2</v>
      </c>
      <c r="T63" s="16">
        <f t="shared" ca="1" si="24"/>
        <v>0</v>
      </c>
      <c r="U63" s="16">
        <f t="shared" ca="1" si="25"/>
        <v>3</v>
      </c>
      <c r="V63" s="625">
        <f t="shared" ca="1" si="26"/>
        <v>0.125</v>
      </c>
      <c r="W63" s="16">
        <f t="shared" ca="1" si="28"/>
        <v>1</v>
      </c>
      <c r="X63" s="16"/>
      <c r="AA63" s="16">
        <v>61</v>
      </c>
      <c r="AB63" s="16" t="s">
        <v>163</v>
      </c>
      <c r="AC63" s="16">
        <v>-1</v>
      </c>
      <c r="AD63" s="625">
        <f t="shared" si="4"/>
        <v>4.1666666666666664E-2</v>
      </c>
      <c r="AE63" s="16">
        <v>0</v>
      </c>
      <c r="AF63" s="16">
        <f t="shared" ca="1" si="29"/>
        <v>3</v>
      </c>
      <c r="AG63" s="625">
        <f t="shared" ca="1" si="6"/>
        <v>0.125</v>
      </c>
      <c r="AH63" s="16">
        <f t="shared" ca="1" si="30"/>
        <v>1</v>
      </c>
      <c r="AI63" s="16"/>
    </row>
    <row r="64" spans="1:35" x14ac:dyDescent="0.2">
      <c r="A64" s="594">
        <v>46199.833333333336</v>
      </c>
      <c r="B64" s="16"/>
      <c r="C64" s="594">
        <f t="shared" ca="1" si="27"/>
        <v>46199.833333333336</v>
      </c>
      <c r="D64" s="622"/>
      <c r="P64" s="16">
        <v>62</v>
      </c>
      <c r="Q64" s="16" t="s">
        <v>151</v>
      </c>
      <c r="R64" s="16">
        <f t="shared" ca="1" si="22"/>
        <v>0</v>
      </c>
      <c r="S64" s="625">
        <f t="shared" ca="1" si="23"/>
        <v>0</v>
      </c>
      <c r="T64" s="16">
        <f t="shared" ca="1" si="24"/>
        <v>0</v>
      </c>
      <c r="U64" s="16">
        <f t="shared" ca="1" si="25"/>
        <v>4</v>
      </c>
      <c r="V64" s="625">
        <f t="shared" ca="1" si="26"/>
        <v>0.16666666666666666</v>
      </c>
      <c r="W64" s="16">
        <f t="shared" ca="1" si="28"/>
        <v>1</v>
      </c>
      <c r="X64" s="16"/>
      <c r="AA64" s="16">
        <v>62</v>
      </c>
      <c r="AB64" s="16" t="s">
        <v>151</v>
      </c>
      <c r="AC64" s="16">
        <v>0</v>
      </c>
      <c r="AD64" s="625">
        <f t="shared" si="4"/>
        <v>0</v>
      </c>
      <c r="AE64" s="16">
        <v>0</v>
      </c>
      <c r="AF64" s="16">
        <f t="shared" ca="1" si="29"/>
        <v>4</v>
      </c>
      <c r="AG64" s="625">
        <f t="shared" ca="1" si="6"/>
        <v>0.16666666666666666</v>
      </c>
      <c r="AH64" s="16">
        <f t="shared" ca="1" si="30"/>
        <v>1</v>
      </c>
      <c r="AI64" s="16"/>
    </row>
    <row r="65" spans="1:35" x14ac:dyDescent="0.2">
      <c r="A65" s="594">
        <v>46199.833333333336</v>
      </c>
      <c r="B65" s="16"/>
      <c r="C65" s="594">
        <f t="shared" ca="1" si="27"/>
        <v>46199.833333333336</v>
      </c>
      <c r="D65" s="622"/>
      <c r="P65" s="16">
        <v>63</v>
      </c>
      <c r="Q65" s="16" t="s">
        <v>164</v>
      </c>
      <c r="R65" s="16">
        <f t="shared" ca="1" si="22"/>
        <v>1</v>
      </c>
      <c r="S65" s="625">
        <f t="shared" ca="1" si="23"/>
        <v>4.1666666666666664E-2</v>
      </c>
      <c r="T65" s="16">
        <f t="shared" ca="1" si="24"/>
        <v>0</v>
      </c>
      <c r="U65" s="16">
        <f t="shared" ca="1" si="25"/>
        <v>5</v>
      </c>
      <c r="V65" s="625">
        <f t="shared" ca="1" si="26"/>
        <v>0.20833333333333334</v>
      </c>
      <c r="W65" s="16">
        <f t="shared" ca="1" si="28"/>
        <v>1</v>
      </c>
      <c r="X65" s="16"/>
      <c r="AA65" s="16">
        <v>63</v>
      </c>
      <c r="AB65" s="16" t="s">
        <v>164</v>
      </c>
      <c r="AC65" s="16">
        <v>1</v>
      </c>
      <c r="AD65" s="625">
        <f t="shared" si="4"/>
        <v>4.1666666666666664E-2</v>
      </c>
      <c r="AE65" s="16">
        <v>0</v>
      </c>
      <c r="AF65" s="16">
        <f t="shared" ca="1" si="29"/>
        <v>5</v>
      </c>
      <c r="AG65" s="625">
        <f t="shared" ca="1" si="6"/>
        <v>0.20833333333333334</v>
      </c>
      <c r="AH65" s="16">
        <f t="shared" ca="1" si="30"/>
        <v>1</v>
      </c>
      <c r="AI65" s="16"/>
    </row>
    <row r="66" spans="1:35" x14ac:dyDescent="0.2">
      <c r="A66" s="16"/>
      <c r="B66" s="16"/>
      <c r="C66" s="594"/>
      <c r="P66" s="16">
        <v>64</v>
      </c>
      <c r="Q66" s="16" t="s">
        <v>165</v>
      </c>
      <c r="R66" s="16">
        <f t="shared" ca="1" si="22"/>
        <v>2</v>
      </c>
      <c r="S66" s="625">
        <f t="shared" ca="1" si="23"/>
        <v>8.3333333333333329E-2</v>
      </c>
      <c r="T66" s="16">
        <f t="shared" ca="1" si="24"/>
        <v>0</v>
      </c>
      <c r="U66" s="16">
        <f t="shared" ca="1" si="25"/>
        <v>6</v>
      </c>
      <c r="V66" s="625">
        <f t="shared" ca="1" si="26"/>
        <v>0.25</v>
      </c>
      <c r="W66" s="16">
        <f t="shared" ca="1" si="28"/>
        <v>1</v>
      </c>
      <c r="X66" s="16"/>
      <c r="AA66" s="16">
        <v>64</v>
      </c>
      <c r="AB66" s="16" t="s">
        <v>165</v>
      </c>
      <c r="AC66" s="16">
        <v>2</v>
      </c>
      <c r="AD66" s="625">
        <f t="shared" si="4"/>
        <v>8.3333333333333329E-2</v>
      </c>
      <c r="AE66" s="16">
        <v>0</v>
      </c>
      <c r="AF66" s="16">
        <f t="shared" ca="1" si="29"/>
        <v>6</v>
      </c>
      <c r="AG66" s="625">
        <f t="shared" ca="1" si="6"/>
        <v>0.25</v>
      </c>
      <c r="AH66" s="16">
        <f t="shared" ca="1" si="30"/>
        <v>1</v>
      </c>
      <c r="AI66" s="16"/>
    </row>
    <row r="67" spans="1:35" x14ac:dyDescent="0.2">
      <c r="A67" s="9" t="s">
        <v>496</v>
      </c>
      <c r="B67" s="16"/>
      <c r="C67" s="594"/>
      <c r="P67" s="16">
        <v>65</v>
      </c>
      <c r="Q67" s="16" t="s">
        <v>166</v>
      </c>
      <c r="R67" s="16">
        <f t="shared" ca="1" si="22"/>
        <v>3</v>
      </c>
      <c r="S67" s="625">
        <f t="shared" ca="1" si="23"/>
        <v>0.125</v>
      </c>
      <c r="T67" s="16">
        <f t="shared" ca="1" si="24"/>
        <v>0</v>
      </c>
      <c r="U67" s="16">
        <f t="shared" ca="1" si="25"/>
        <v>7</v>
      </c>
      <c r="V67" s="625">
        <f t="shared" ca="1" si="26"/>
        <v>0.29166666666666669</v>
      </c>
      <c r="W67" s="16">
        <f t="shared" ca="1" si="28"/>
        <v>1</v>
      </c>
      <c r="X67" s="16"/>
      <c r="AA67" s="16">
        <v>65</v>
      </c>
      <c r="AB67" s="16" t="s">
        <v>166</v>
      </c>
      <c r="AC67" s="16">
        <v>3</v>
      </c>
      <c r="AD67" s="625">
        <f t="shared" si="4"/>
        <v>0.125</v>
      </c>
      <c r="AE67" s="16">
        <v>0</v>
      </c>
      <c r="AF67" s="16">
        <f t="shared" ca="1" si="29"/>
        <v>7</v>
      </c>
      <c r="AG67" s="625">
        <f t="shared" ca="1" si="6"/>
        <v>0.29166666666666669</v>
      </c>
      <c r="AH67" s="16">
        <f t="shared" ca="1" si="30"/>
        <v>1</v>
      </c>
      <c r="AI67" s="16"/>
    </row>
    <row r="68" spans="1:35" x14ac:dyDescent="0.2">
      <c r="A68" s="594">
        <v>46189.625</v>
      </c>
      <c r="B68" s="16"/>
      <c r="C68" s="594">
        <f t="shared" ref="C68:C73" ca="1" si="31">A68+INDEX($V$3:$V$86,MATCH($C$3,$P$3:$P$86,0))*INDEX($W$3:$W$86,MATCH($C$3,$P$3:$P$86,0))</f>
        <v>46189.625</v>
      </c>
      <c r="D68" s="622"/>
      <c r="P68" s="16">
        <v>66</v>
      </c>
      <c r="Q68" s="16" t="s">
        <v>366</v>
      </c>
      <c r="R68" s="16">
        <f t="shared" ca="1" si="22"/>
        <v>3.5</v>
      </c>
      <c r="S68" s="625">
        <f t="shared" ca="1" si="23"/>
        <v>0.14583333333333334</v>
      </c>
      <c r="T68" s="16">
        <f t="shared" ca="1" si="24"/>
        <v>0</v>
      </c>
      <c r="U68" s="16">
        <f t="shared" ca="1" si="25"/>
        <v>7.5</v>
      </c>
      <c r="V68" s="625">
        <f t="shared" ca="1" si="26"/>
        <v>0.3125</v>
      </c>
      <c r="W68" s="16">
        <f t="shared" ca="1" si="28"/>
        <v>1</v>
      </c>
      <c r="X68" s="16"/>
      <c r="AA68" s="16">
        <v>66</v>
      </c>
      <c r="AB68" s="16" t="s">
        <v>366</v>
      </c>
      <c r="AC68" s="16">
        <v>3.5</v>
      </c>
      <c r="AD68" s="625">
        <f t="shared" ref="AD68:AD86" si="32">ABS(AC68/24)</f>
        <v>0.14583333333333334</v>
      </c>
      <c r="AE68" s="16">
        <v>0</v>
      </c>
      <c r="AF68" s="16">
        <f t="shared" ca="1" si="29"/>
        <v>7.5</v>
      </c>
      <c r="AG68" s="625">
        <f t="shared" ref="AG68:AG86" ca="1" si="33">ABS(AF68/24)</f>
        <v>0.3125</v>
      </c>
      <c r="AH68" s="16">
        <f t="shared" ca="1" si="30"/>
        <v>1</v>
      </c>
      <c r="AI68" s="16"/>
    </row>
    <row r="69" spans="1:35" x14ac:dyDescent="0.2">
      <c r="A69" s="594">
        <v>46189.75</v>
      </c>
      <c r="B69" s="16"/>
      <c r="C69" s="594">
        <f t="shared" ca="1" si="31"/>
        <v>46189.75</v>
      </c>
      <c r="D69" s="622"/>
      <c r="P69" s="16">
        <v>67</v>
      </c>
      <c r="Q69" s="16" t="s">
        <v>167</v>
      </c>
      <c r="R69" s="16">
        <f t="shared" ca="1" si="22"/>
        <v>4</v>
      </c>
      <c r="S69" s="625">
        <f t="shared" ca="1" si="23"/>
        <v>0.16666666666666666</v>
      </c>
      <c r="T69" s="16">
        <f t="shared" ca="1" si="24"/>
        <v>0</v>
      </c>
      <c r="U69" s="16">
        <f t="shared" ca="1" si="25"/>
        <v>8</v>
      </c>
      <c r="V69" s="625">
        <f t="shared" ca="1" si="26"/>
        <v>0.33333333333333331</v>
      </c>
      <c r="W69" s="16">
        <f t="shared" ca="1" si="28"/>
        <v>1</v>
      </c>
      <c r="X69" s="16"/>
      <c r="AA69" s="16">
        <v>67</v>
      </c>
      <c r="AB69" s="16" t="s">
        <v>167</v>
      </c>
      <c r="AC69" s="16">
        <v>4</v>
      </c>
      <c r="AD69" s="625">
        <f t="shared" si="32"/>
        <v>0.16666666666666666</v>
      </c>
      <c r="AE69" s="16">
        <v>0</v>
      </c>
      <c r="AF69" s="16">
        <f t="shared" ca="1" si="29"/>
        <v>8</v>
      </c>
      <c r="AG69" s="625">
        <f t="shared" ca="1" si="33"/>
        <v>0.33333333333333331</v>
      </c>
      <c r="AH69" s="16">
        <f t="shared" ca="1" si="30"/>
        <v>1</v>
      </c>
      <c r="AI69" s="16"/>
    </row>
    <row r="70" spans="1:35" x14ac:dyDescent="0.2">
      <c r="A70" s="594">
        <v>46195.708333333336</v>
      </c>
      <c r="B70" s="16"/>
      <c r="C70" s="594">
        <f t="shared" ca="1" si="31"/>
        <v>46195.708333333336</v>
      </c>
      <c r="D70" s="622"/>
      <c r="P70" s="16">
        <v>68</v>
      </c>
      <c r="Q70" s="16" t="s">
        <v>367</v>
      </c>
      <c r="R70" s="16">
        <f t="shared" ca="1" si="22"/>
        <v>4.5</v>
      </c>
      <c r="S70" s="625">
        <f t="shared" ca="1" si="23"/>
        <v>0.1875</v>
      </c>
      <c r="T70" s="16">
        <f t="shared" ca="1" si="24"/>
        <v>0</v>
      </c>
      <c r="U70" s="16">
        <f t="shared" ca="1" si="25"/>
        <v>8.5</v>
      </c>
      <c r="V70" s="625">
        <f t="shared" ca="1" si="26"/>
        <v>0.35416666666666669</v>
      </c>
      <c r="W70" s="16">
        <f t="shared" ca="1" si="28"/>
        <v>1</v>
      </c>
      <c r="X70" s="16"/>
      <c r="AA70" s="16">
        <v>68</v>
      </c>
      <c r="AB70" s="16" t="s">
        <v>367</v>
      </c>
      <c r="AC70" s="16">
        <v>4.5</v>
      </c>
      <c r="AD70" s="625">
        <f t="shared" si="32"/>
        <v>0.1875</v>
      </c>
      <c r="AE70" s="16">
        <v>0</v>
      </c>
      <c r="AF70" s="16">
        <f t="shared" ca="1" si="29"/>
        <v>8.5</v>
      </c>
      <c r="AG70" s="625">
        <f t="shared" ca="1" si="33"/>
        <v>0.35416666666666669</v>
      </c>
      <c r="AH70" s="16">
        <f t="shared" ca="1" si="30"/>
        <v>1</v>
      </c>
      <c r="AI70" s="16"/>
    </row>
    <row r="71" spans="1:35" x14ac:dyDescent="0.2">
      <c r="A71" s="594">
        <v>46195.833333333336</v>
      </c>
      <c r="B71" s="16"/>
      <c r="C71" s="594">
        <f t="shared" ca="1" si="31"/>
        <v>46195.833333333336</v>
      </c>
      <c r="D71" s="622"/>
      <c r="P71" s="16">
        <v>69</v>
      </c>
      <c r="Q71" s="16" t="s">
        <v>168</v>
      </c>
      <c r="R71" s="16">
        <f t="shared" ca="1" si="22"/>
        <v>5</v>
      </c>
      <c r="S71" s="625">
        <f t="shared" ca="1" si="23"/>
        <v>0.20833333333333334</v>
      </c>
      <c r="T71" s="16">
        <f t="shared" ca="1" si="24"/>
        <v>0</v>
      </c>
      <c r="U71" s="16">
        <f t="shared" ca="1" si="25"/>
        <v>9</v>
      </c>
      <c r="V71" s="625">
        <f t="shared" ca="1" si="26"/>
        <v>0.375</v>
      </c>
      <c r="W71" s="16">
        <f t="shared" ca="1" si="28"/>
        <v>1</v>
      </c>
      <c r="X71" s="16"/>
      <c r="AA71" s="16">
        <v>69</v>
      </c>
      <c r="AB71" s="16" t="s">
        <v>168</v>
      </c>
      <c r="AC71" s="16">
        <v>5</v>
      </c>
      <c r="AD71" s="625">
        <f t="shared" si="32"/>
        <v>0.20833333333333334</v>
      </c>
      <c r="AE71" s="16">
        <v>0</v>
      </c>
      <c r="AF71" s="16">
        <f t="shared" ca="1" si="29"/>
        <v>9</v>
      </c>
      <c r="AG71" s="625">
        <f t="shared" ca="1" si="33"/>
        <v>0.375</v>
      </c>
      <c r="AH71" s="16">
        <f t="shared" ca="1" si="30"/>
        <v>1</v>
      </c>
      <c r="AI71" s="16"/>
    </row>
    <row r="72" spans="1:35" x14ac:dyDescent="0.2">
      <c r="A72" s="594">
        <v>46199.625</v>
      </c>
      <c r="B72" s="16"/>
      <c r="C72" s="594">
        <f t="shared" ca="1" si="31"/>
        <v>46199.625</v>
      </c>
      <c r="D72" s="622"/>
      <c r="P72" s="16">
        <v>70</v>
      </c>
      <c r="Q72" s="16" t="s">
        <v>368</v>
      </c>
      <c r="R72" s="16">
        <f t="shared" ca="1" si="22"/>
        <v>5.5</v>
      </c>
      <c r="S72" s="625">
        <f t="shared" ca="1" si="23"/>
        <v>0.22916666666666666</v>
      </c>
      <c r="T72" s="16">
        <f t="shared" ca="1" si="24"/>
        <v>0</v>
      </c>
      <c r="U72" s="16">
        <f t="shared" ca="1" si="25"/>
        <v>9.5</v>
      </c>
      <c r="V72" s="625">
        <f t="shared" ca="1" si="26"/>
        <v>0.39583333333333331</v>
      </c>
      <c r="W72" s="16">
        <f t="shared" ca="1" si="28"/>
        <v>1</v>
      </c>
      <c r="X72" s="16"/>
      <c r="AA72" s="16">
        <v>70</v>
      </c>
      <c r="AB72" s="16" t="s">
        <v>368</v>
      </c>
      <c r="AC72" s="16">
        <v>5.5</v>
      </c>
      <c r="AD72" s="625">
        <f t="shared" si="32"/>
        <v>0.22916666666666666</v>
      </c>
      <c r="AE72" s="16">
        <v>0</v>
      </c>
      <c r="AF72" s="16">
        <f t="shared" ca="1" si="29"/>
        <v>9.5</v>
      </c>
      <c r="AG72" s="625">
        <f t="shared" ca="1" si="33"/>
        <v>0.39583333333333331</v>
      </c>
      <c r="AH72" s="16">
        <f t="shared" ca="1" si="30"/>
        <v>1</v>
      </c>
      <c r="AI72" s="16"/>
    </row>
    <row r="73" spans="1:35" x14ac:dyDescent="0.2">
      <c r="A73" s="594">
        <v>46199.625</v>
      </c>
      <c r="B73" s="16"/>
      <c r="C73" s="594">
        <f t="shared" ca="1" si="31"/>
        <v>46199.625</v>
      </c>
      <c r="D73" s="622"/>
      <c r="P73" s="16">
        <v>71</v>
      </c>
      <c r="Q73" s="16" t="s">
        <v>369</v>
      </c>
      <c r="R73" s="16">
        <f t="shared" ca="1" si="22"/>
        <v>5.75</v>
      </c>
      <c r="S73" s="625">
        <f t="shared" ca="1" si="23"/>
        <v>0.23958333333333334</v>
      </c>
      <c r="T73" s="16">
        <f t="shared" ca="1" si="24"/>
        <v>0</v>
      </c>
      <c r="U73" s="16">
        <f t="shared" ca="1" si="25"/>
        <v>9.75</v>
      </c>
      <c r="V73" s="625">
        <f t="shared" ca="1" si="26"/>
        <v>0.40625</v>
      </c>
      <c r="W73" s="16">
        <f t="shared" ca="1" si="28"/>
        <v>1</v>
      </c>
      <c r="X73" s="16"/>
      <c r="AA73" s="16">
        <v>71</v>
      </c>
      <c r="AB73" s="16" t="s">
        <v>369</v>
      </c>
      <c r="AC73" s="16">
        <v>5.75</v>
      </c>
      <c r="AD73" s="625">
        <f t="shared" si="32"/>
        <v>0.23958333333333334</v>
      </c>
      <c r="AE73" s="16">
        <v>0</v>
      </c>
      <c r="AF73" s="16">
        <f t="shared" ca="1" si="29"/>
        <v>9.75</v>
      </c>
      <c r="AG73" s="625">
        <f t="shared" ca="1" si="33"/>
        <v>0.40625</v>
      </c>
      <c r="AH73" s="16">
        <f t="shared" ca="1" si="30"/>
        <v>1</v>
      </c>
      <c r="AI73" s="16"/>
    </row>
    <row r="74" spans="1:35" x14ac:dyDescent="0.2">
      <c r="A74" s="16"/>
      <c r="B74" s="16"/>
      <c r="C74" s="594"/>
      <c r="P74" s="16">
        <v>72</v>
      </c>
      <c r="Q74" s="16" t="s">
        <v>169</v>
      </c>
      <c r="R74" s="16">
        <f t="shared" ca="1" si="22"/>
        <v>6</v>
      </c>
      <c r="S74" s="625">
        <f t="shared" ca="1" si="23"/>
        <v>0.25</v>
      </c>
      <c r="T74" s="16">
        <f t="shared" ca="1" si="24"/>
        <v>0</v>
      </c>
      <c r="U74" s="16">
        <f t="shared" ca="1" si="25"/>
        <v>10</v>
      </c>
      <c r="V74" s="625">
        <f t="shared" ca="1" si="26"/>
        <v>0.41666666666666669</v>
      </c>
      <c r="W74" s="16">
        <f t="shared" ca="1" si="28"/>
        <v>1</v>
      </c>
      <c r="X74" s="16"/>
      <c r="AA74" s="16">
        <v>72</v>
      </c>
      <c r="AB74" s="16" t="s">
        <v>169</v>
      </c>
      <c r="AC74" s="16">
        <v>6</v>
      </c>
      <c r="AD74" s="625">
        <f t="shared" si="32"/>
        <v>0.25</v>
      </c>
      <c r="AE74" s="16">
        <v>0</v>
      </c>
      <c r="AF74" s="16">
        <f t="shared" ca="1" si="29"/>
        <v>10</v>
      </c>
      <c r="AG74" s="625">
        <f t="shared" ca="1" si="33"/>
        <v>0.41666666666666669</v>
      </c>
      <c r="AH74" s="16">
        <f t="shared" ca="1" si="30"/>
        <v>1</v>
      </c>
      <c r="AI74" s="16"/>
    </row>
    <row r="75" spans="1:35" x14ac:dyDescent="0.2">
      <c r="A75" s="9" t="s">
        <v>497</v>
      </c>
      <c r="B75" s="16"/>
      <c r="C75" s="594"/>
      <c r="P75" s="16">
        <v>73</v>
      </c>
      <c r="Q75" s="16" t="s">
        <v>370</v>
      </c>
      <c r="R75" s="16">
        <f t="shared" ca="1" si="22"/>
        <v>6.5</v>
      </c>
      <c r="S75" s="625">
        <f t="shared" ca="1" si="23"/>
        <v>0.27083333333333331</v>
      </c>
      <c r="T75" s="16">
        <f t="shared" ca="1" si="24"/>
        <v>0</v>
      </c>
      <c r="U75" s="16">
        <f t="shared" ca="1" si="25"/>
        <v>10.5</v>
      </c>
      <c r="V75" s="625">
        <f t="shared" ca="1" si="26"/>
        <v>0.4375</v>
      </c>
      <c r="W75" s="16">
        <f t="shared" ca="1" si="28"/>
        <v>1</v>
      </c>
      <c r="X75" s="16"/>
      <c r="AA75" s="16">
        <v>73</v>
      </c>
      <c r="AB75" s="16" t="s">
        <v>370</v>
      </c>
      <c r="AC75" s="16">
        <v>6.5</v>
      </c>
      <c r="AD75" s="625">
        <f t="shared" si="32"/>
        <v>0.27083333333333331</v>
      </c>
      <c r="AE75" s="16">
        <v>0</v>
      </c>
      <c r="AF75" s="16">
        <f t="shared" ca="1" si="29"/>
        <v>10.5</v>
      </c>
      <c r="AG75" s="625">
        <f t="shared" ca="1" si="33"/>
        <v>0.4375</v>
      </c>
      <c r="AH75" s="16">
        <f t="shared" ca="1" si="30"/>
        <v>1</v>
      </c>
      <c r="AI75" s="16"/>
    </row>
    <row r="76" spans="1:35" x14ac:dyDescent="0.2">
      <c r="A76" s="594">
        <v>46189.875</v>
      </c>
      <c r="B76" s="16"/>
      <c r="C76" s="594">
        <f t="shared" ref="C76:C81" ca="1" si="34">A76+INDEX($V$3:$V$86,MATCH($C$3,$P$3:$P$86,0))*INDEX($W$3:$W$86,MATCH($C$3,$P$3:$P$86,0))</f>
        <v>46189.875</v>
      </c>
      <c r="D76" s="622"/>
      <c r="P76" s="16">
        <v>74</v>
      </c>
      <c r="Q76" s="16" t="s">
        <v>170</v>
      </c>
      <c r="R76" s="16">
        <f t="shared" ca="1" si="22"/>
        <v>7</v>
      </c>
      <c r="S76" s="625">
        <f t="shared" ca="1" si="23"/>
        <v>0.29166666666666669</v>
      </c>
      <c r="T76" s="16">
        <f t="shared" ca="1" si="24"/>
        <v>0</v>
      </c>
      <c r="U76" s="16">
        <f t="shared" ca="1" si="25"/>
        <v>11</v>
      </c>
      <c r="V76" s="625">
        <f t="shared" ca="1" si="26"/>
        <v>0.45833333333333331</v>
      </c>
      <c r="W76" s="16">
        <f t="shared" ca="1" si="28"/>
        <v>1</v>
      </c>
      <c r="X76" s="16"/>
      <c r="AA76" s="16">
        <v>74</v>
      </c>
      <c r="AB76" s="16" t="s">
        <v>170</v>
      </c>
      <c r="AC76" s="16">
        <v>7</v>
      </c>
      <c r="AD76" s="625">
        <f t="shared" si="32"/>
        <v>0.29166666666666669</v>
      </c>
      <c r="AE76" s="16">
        <v>0</v>
      </c>
      <c r="AF76" s="16">
        <f t="shared" ca="1" si="29"/>
        <v>11</v>
      </c>
      <c r="AG76" s="625">
        <f t="shared" ca="1" si="33"/>
        <v>0.45833333333333331</v>
      </c>
      <c r="AH76" s="16">
        <f t="shared" ca="1" si="30"/>
        <v>1</v>
      </c>
      <c r="AI76" s="16"/>
    </row>
    <row r="77" spans="1:35" x14ac:dyDescent="0.2">
      <c r="A77" s="594">
        <v>46190</v>
      </c>
      <c r="B77" s="16"/>
      <c r="C77" s="594">
        <f t="shared" ca="1" si="34"/>
        <v>46190</v>
      </c>
      <c r="D77" s="622"/>
      <c r="P77" s="16">
        <v>75</v>
      </c>
      <c r="Q77" s="16" t="s">
        <v>171</v>
      </c>
      <c r="R77" s="16">
        <f t="shared" ca="1" si="22"/>
        <v>8</v>
      </c>
      <c r="S77" s="625">
        <f t="shared" ca="1" si="23"/>
        <v>0.33333333333333331</v>
      </c>
      <c r="T77" s="16">
        <f t="shared" ca="1" si="24"/>
        <v>0</v>
      </c>
      <c r="U77" s="16">
        <f t="shared" ca="1" si="25"/>
        <v>12</v>
      </c>
      <c r="V77" s="625">
        <f t="shared" ca="1" si="26"/>
        <v>0.5</v>
      </c>
      <c r="W77" s="16">
        <f t="shared" ca="1" si="28"/>
        <v>1</v>
      </c>
      <c r="X77" s="16"/>
      <c r="AA77" s="16">
        <v>75</v>
      </c>
      <c r="AB77" s="16" t="s">
        <v>171</v>
      </c>
      <c r="AC77" s="16">
        <v>8</v>
      </c>
      <c r="AD77" s="625">
        <f t="shared" si="32"/>
        <v>0.33333333333333331</v>
      </c>
      <c r="AE77" s="16">
        <v>0</v>
      </c>
      <c r="AF77" s="16">
        <f t="shared" ca="1" si="29"/>
        <v>12</v>
      </c>
      <c r="AG77" s="625">
        <f t="shared" ca="1" si="33"/>
        <v>0.5</v>
      </c>
      <c r="AH77" s="16">
        <f t="shared" ca="1" si="30"/>
        <v>1</v>
      </c>
      <c r="AI77" s="16"/>
    </row>
    <row r="78" spans="1:35" x14ac:dyDescent="0.2">
      <c r="A78" s="594">
        <v>46195.541666666664</v>
      </c>
      <c r="B78" s="16"/>
      <c r="C78" s="594">
        <f t="shared" ca="1" si="34"/>
        <v>46195.541666666664</v>
      </c>
      <c r="D78" s="622"/>
      <c r="P78" s="16">
        <v>76</v>
      </c>
      <c r="Q78" s="16" t="s">
        <v>172</v>
      </c>
      <c r="R78" s="16">
        <f t="shared" ca="1" si="22"/>
        <v>9</v>
      </c>
      <c r="S78" s="625">
        <f t="shared" ca="1" si="23"/>
        <v>0.375</v>
      </c>
      <c r="T78" s="16">
        <f t="shared" ca="1" si="24"/>
        <v>0</v>
      </c>
      <c r="U78" s="16">
        <f t="shared" ca="1" si="25"/>
        <v>13</v>
      </c>
      <c r="V78" s="625">
        <f t="shared" ca="1" si="26"/>
        <v>0.54166666666666663</v>
      </c>
      <c r="W78" s="16">
        <f t="shared" ca="1" si="28"/>
        <v>1</v>
      </c>
      <c r="X78" s="16"/>
      <c r="AA78" s="16">
        <v>76</v>
      </c>
      <c r="AB78" s="16" t="s">
        <v>172</v>
      </c>
      <c r="AC78" s="16">
        <v>9</v>
      </c>
      <c r="AD78" s="625">
        <f t="shared" si="32"/>
        <v>0.375</v>
      </c>
      <c r="AE78" s="16">
        <v>0</v>
      </c>
      <c r="AF78" s="16">
        <f t="shared" ca="1" si="29"/>
        <v>13</v>
      </c>
      <c r="AG78" s="625">
        <f t="shared" ca="1" si="33"/>
        <v>0.54166666666666663</v>
      </c>
      <c r="AH78" s="16">
        <f t="shared" ca="1" si="30"/>
        <v>1</v>
      </c>
      <c r="AI78" s="16"/>
    </row>
    <row r="79" spans="1:35" x14ac:dyDescent="0.2">
      <c r="A79" s="594">
        <v>46195.958333333336</v>
      </c>
      <c r="B79" s="16"/>
      <c r="C79" s="594">
        <f t="shared" ca="1" si="34"/>
        <v>46195.958333333336</v>
      </c>
      <c r="D79" s="622"/>
      <c r="P79" s="16">
        <v>77</v>
      </c>
      <c r="Q79" s="16" t="s">
        <v>371</v>
      </c>
      <c r="R79" s="16">
        <f t="shared" ca="1" si="22"/>
        <v>9.5</v>
      </c>
      <c r="S79" s="625">
        <f t="shared" ca="1" si="23"/>
        <v>0.39583333333333331</v>
      </c>
      <c r="T79" s="16">
        <f t="shared" ca="1" si="24"/>
        <v>0</v>
      </c>
      <c r="U79" s="16">
        <f t="shared" ca="1" si="25"/>
        <v>13.5</v>
      </c>
      <c r="V79" s="625">
        <f t="shared" ca="1" si="26"/>
        <v>0.5625</v>
      </c>
      <c r="W79" s="16">
        <f t="shared" ca="1" si="28"/>
        <v>1</v>
      </c>
      <c r="X79" s="16"/>
      <c r="AA79" s="16">
        <v>77</v>
      </c>
      <c r="AB79" s="16" t="s">
        <v>371</v>
      </c>
      <c r="AC79" s="16">
        <v>9.5</v>
      </c>
      <c r="AD79" s="625">
        <f t="shared" si="32"/>
        <v>0.39583333333333331</v>
      </c>
      <c r="AE79" s="16">
        <v>0</v>
      </c>
      <c r="AF79" s="16">
        <f t="shared" ca="1" si="29"/>
        <v>13.5</v>
      </c>
      <c r="AG79" s="625">
        <f t="shared" ca="1" si="33"/>
        <v>0.5625</v>
      </c>
      <c r="AH79" s="16">
        <f t="shared" ca="1" si="30"/>
        <v>1</v>
      </c>
      <c r="AI79" s="16"/>
    </row>
    <row r="80" spans="1:35" x14ac:dyDescent="0.2">
      <c r="A80" s="594">
        <v>46200.916666666664</v>
      </c>
      <c r="B80" s="16"/>
      <c r="C80" s="594">
        <f t="shared" ca="1" si="34"/>
        <v>46200.916666666664</v>
      </c>
      <c r="D80" s="622"/>
      <c r="P80" s="16">
        <v>78</v>
      </c>
      <c r="Q80" s="16" t="s">
        <v>173</v>
      </c>
      <c r="R80" s="16">
        <f t="shared" ca="1" si="22"/>
        <v>10</v>
      </c>
      <c r="S80" s="625">
        <f t="shared" ca="1" si="23"/>
        <v>0.41666666666666669</v>
      </c>
      <c r="T80" s="16">
        <f t="shared" ca="1" si="24"/>
        <v>0</v>
      </c>
      <c r="U80" s="16">
        <f t="shared" ca="1" si="25"/>
        <v>14</v>
      </c>
      <c r="V80" s="625">
        <f t="shared" ca="1" si="26"/>
        <v>0.58333333333333337</v>
      </c>
      <c r="W80" s="16">
        <f t="shared" ca="1" si="28"/>
        <v>1</v>
      </c>
      <c r="X80" s="16"/>
      <c r="AA80" s="16">
        <v>78</v>
      </c>
      <c r="AB80" s="16" t="s">
        <v>173</v>
      </c>
      <c r="AC80" s="16">
        <v>10</v>
      </c>
      <c r="AD80" s="625">
        <f t="shared" si="32"/>
        <v>0.41666666666666669</v>
      </c>
      <c r="AE80" s="16">
        <v>0</v>
      </c>
      <c r="AF80" s="16">
        <f t="shared" ca="1" si="29"/>
        <v>14</v>
      </c>
      <c r="AG80" s="625">
        <f t="shared" ca="1" si="33"/>
        <v>0.58333333333333337</v>
      </c>
      <c r="AH80" s="16">
        <f t="shared" ca="1" si="30"/>
        <v>1</v>
      </c>
      <c r="AI80" s="16"/>
    </row>
    <row r="81" spans="1:35" x14ac:dyDescent="0.2">
      <c r="A81" s="594">
        <v>46200.916666666664</v>
      </c>
      <c r="B81" s="16"/>
      <c r="C81" s="594">
        <f t="shared" ca="1" si="34"/>
        <v>46200.916666666664</v>
      </c>
      <c r="D81" s="622"/>
      <c r="P81" s="16">
        <v>79</v>
      </c>
      <c r="Q81" s="16" t="s">
        <v>372</v>
      </c>
      <c r="R81" s="16">
        <f t="shared" ca="1" si="22"/>
        <v>10.5</v>
      </c>
      <c r="S81" s="625">
        <f t="shared" ca="1" si="23"/>
        <v>0.4375</v>
      </c>
      <c r="T81" s="16">
        <f t="shared" ca="1" si="24"/>
        <v>0</v>
      </c>
      <c r="U81" s="16">
        <f t="shared" ca="1" si="25"/>
        <v>14.5</v>
      </c>
      <c r="V81" s="625">
        <f t="shared" ca="1" si="26"/>
        <v>0.60416666666666663</v>
      </c>
      <c r="W81" s="16">
        <f t="shared" ca="1" si="28"/>
        <v>1</v>
      </c>
      <c r="X81" s="16"/>
      <c r="AA81" s="16">
        <v>79</v>
      </c>
      <c r="AB81" s="16" t="s">
        <v>372</v>
      </c>
      <c r="AC81" s="16">
        <v>10.5</v>
      </c>
      <c r="AD81" s="625">
        <f t="shared" si="32"/>
        <v>0.4375</v>
      </c>
      <c r="AE81" s="16">
        <v>0</v>
      </c>
      <c r="AF81" s="16">
        <f t="shared" ca="1" si="29"/>
        <v>14.5</v>
      </c>
      <c r="AG81" s="625">
        <f t="shared" ca="1" si="33"/>
        <v>0.60416666666666663</v>
      </c>
      <c r="AH81" s="16">
        <f t="shared" ca="1" si="30"/>
        <v>1</v>
      </c>
      <c r="AI81" s="16"/>
    </row>
    <row r="82" spans="1:35" x14ac:dyDescent="0.2">
      <c r="A82" s="16"/>
      <c r="B82" s="16"/>
      <c r="C82" s="594"/>
      <c r="P82" s="16">
        <v>80</v>
      </c>
      <c r="Q82" s="16" t="s">
        <v>174</v>
      </c>
      <c r="R82" s="16">
        <f t="shared" ca="1" si="22"/>
        <v>11</v>
      </c>
      <c r="S82" s="625">
        <f t="shared" ca="1" si="23"/>
        <v>0.45833333333333331</v>
      </c>
      <c r="T82" s="16">
        <f t="shared" ca="1" si="24"/>
        <v>0</v>
      </c>
      <c r="U82" s="16">
        <f t="shared" ca="1" si="25"/>
        <v>15</v>
      </c>
      <c r="V82" s="625">
        <f t="shared" ca="1" si="26"/>
        <v>0.625</v>
      </c>
      <c r="W82" s="16">
        <f t="shared" ca="1" si="28"/>
        <v>1</v>
      </c>
      <c r="X82" s="16"/>
      <c r="AA82" s="16">
        <v>80</v>
      </c>
      <c r="AB82" s="16" t="s">
        <v>174</v>
      </c>
      <c r="AC82" s="16">
        <v>11</v>
      </c>
      <c r="AD82" s="625">
        <f t="shared" si="32"/>
        <v>0.45833333333333331</v>
      </c>
      <c r="AE82" s="16">
        <v>0</v>
      </c>
      <c r="AF82" s="16">
        <f t="shared" ca="1" si="29"/>
        <v>15</v>
      </c>
      <c r="AG82" s="625">
        <f t="shared" ca="1" si="33"/>
        <v>0.625</v>
      </c>
      <c r="AH82" s="16">
        <f t="shared" ca="1" si="30"/>
        <v>1</v>
      </c>
      <c r="AI82" s="16"/>
    </row>
    <row r="83" spans="1:35" x14ac:dyDescent="0.2">
      <c r="A83" s="9" t="s">
        <v>498</v>
      </c>
      <c r="B83" s="16"/>
      <c r="C83" s="594"/>
      <c r="P83" s="16">
        <v>81</v>
      </c>
      <c r="Q83" s="16" t="s">
        <v>175</v>
      </c>
      <c r="R83" s="16">
        <f t="shared" ca="1" si="22"/>
        <v>12</v>
      </c>
      <c r="S83" s="625">
        <f t="shared" ca="1" si="23"/>
        <v>0.5</v>
      </c>
      <c r="T83" s="16">
        <f t="shared" ca="1" si="24"/>
        <v>0</v>
      </c>
      <c r="U83" s="16">
        <f t="shared" ca="1" si="25"/>
        <v>16</v>
      </c>
      <c r="V83" s="625">
        <f t="shared" ca="1" si="26"/>
        <v>0.66666666666666663</v>
      </c>
      <c r="W83" s="16">
        <f t="shared" ca="1" si="28"/>
        <v>1</v>
      </c>
      <c r="X83" s="16"/>
      <c r="AA83" s="16">
        <v>81</v>
      </c>
      <c r="AB83" s="16" t="s">
        <v>175</v>
      </c>
      <c r="AC83" s="16">
        <v>12</v>
      </c>
      <c r="AD83" s="625">
        <f t="shared" si="32"/>
        <v>0.5</v>
      </c>
      <c r="AE83" s="16">
        <v>0</v>
      </c>
      <c r="AF83" s="16">
        <f t="shared" ca="1" si="29"/>
        <v>16</v>
      </c>
      <c r="AG83" s="625">
        <f t="shared" ca="1" si="33"/>
        <v>0.66666666666666663</v>
      </c>
      <c r="AH83" s="16">
        <f t="shared" ca="1" si="30"/>
        <v>1</v>
      </c>
      <c r="AI83" s="16"/>
    </row>
    <row r="84" spans="1:35" x14ac:dyDescent="0.2">
      <c r="A84" s="594">
        <v>46190.541666666664</v>
      </c>
      <c r="B84" s="16"/>
      <c r="C84" s="594">
        <f t="shared" ref="C84:C89" ca="1" si="35">A84+INDEX($V$3:$V$86,MATCH($C$3,$P$3:$P$86,0))*INDEX($W$3:$W$86,MATCH($C$3,$P$3:$P$86,0))</f>
        <v>46190.541666666664</v>
      </c>
      <c r="D84" s="622"/>
      <c r="P84" s="16">
        <v>82</v>
      </c>
      <c r="Q84" s="16" t="s">
        <v>373</v>
      </c>
      <c r="R84" s="16">
        <f t="shared" ca="1" si="22"/>
        <v>12.75</v>
      </c>
      <c r="S84" s="625">
        <f t="shared" ca="1" si="23"/>
        <v>0.53125</v>
      </c>
      <c r="T84" s="16">
        <f t="shared" ca="1" si="24"/>
        <v>0</v>
      </c>
      <c r="U84" s="16">
        <f t="shared" ca="1" si="25"/>
        <v>16.75</v>
      </c>
      <c r="V84" s="625">
        <f t="shared" ca="1" si="26"/>
        <v>0.69791666666666663</v>
      </c>
      <c r="W84" s="16">
        <f t="shared" ca="1" si="28"/>
        <v>1</v>
      </c>
      <c r="X84" s="16"/>
      <c r="AA84" s="16">
        <v>82</v>
      </c>
      <c r="AB84" s="16" t="s">
        <v>373</v>
      </c>
      <c r="AC84" s="16">
        <v>12.75</v>
      </c>
      <c r="AD84" s="625">
        <f t="shared" si="32"/>
        <v>0.53125</v>
      </c>
      <c r="AE84" s="16">
        <v>0</v>
      </c>
      <c r="AF84" s="16">
        <f t="shared" ca="1" si="29"/>
        <v>16.75</v>
      </c>
      <c r="AG84" s="625">
        <f t="shared" ca="1" si="33"/>
        <v>0.69791666666666663</v>
      </c>
      <c r="AH84" s="16">
        <f t="shared" ca="1" si="30"/>
        <v>1</v>
      </c>
      <c r="AI84" s="16"/>
    </row>
    <row r="85" spans="1:35" x14ac:dyDescent="0.2">
      <c r="A85" s="594">
        <v>46190.916666666664</v>
      </c>
      <c r="B85" s="16"/>
      <c r="C85" s="594">
        <f t="shared" ca="1" si="35"/>
        <v>46190.916666666664</v>
      </c>
      <c r="D85" s="622"/>
      <c r="P85" s="16">
        <v>83</v>
      </c>
      <c r="Q85" s="16" t="s">
        <v>374</v>
      </c>
      <c r="R85" s="16">
        <f t="shared" ca="1" si="22"/>
        <v>13</v>
      </c>
      <c r="S85" s="625">
        <f t="shared" ca="1" si="23"/>
        <v>0.54166666666666663</v>
      </c>
      <c r="T85" s="16">
        <f t="shared" ca="1" si="24"/>
        <v>0</v>
      </c>
      <c r="U85" s="16">
        <f t="shared" ca="1" si="25"/>
        <v>17</v>
      </c>
      <c r="V85" s="625">
        <f t="shared" ca="1" si="26"/>
        <v>0.70833333333333337</v>
      </c>
      <c r="W85" s="16">
        <f t="shared" ca="1" si="28"/>
        <v>1</v>
      </c>
      <c r="X85" s="16"/>
      <c r="AA85" s="16">
        <v>83</v>
      </c>
      <c r="AB85" s="16" t="s">
        <v>374</v>
      </c>
      <c r="AC85" s="16">
        <v>13</v>
      </c>
      <c r="AD85" s="625">
        <f t="shared" si="32"/>
        <v>0.54166666666666663</v>
      </c>
      <c r="AE85" s="16">
        <v>0</v>
      </c>
      <c r="AF85" s="16">
        <f t="shared" ca="1" si="29"/>
        <v>17</v>
      </c>
      <c r="AG85" s="625">
        <f t="shared" ca="1" si="33"/>
        <v>0.70833333333333337</v>
      </c>
      <c r="AH85" s="16">
        <f t="shared" ca="1" si="30"/>
        <v>1</v>
      </c>
      <c r="AI85" s="16"/>
    </row>
    <row r="86" spans="1:35" x14ac:dyDescent="0.2">
      <c r="A86" s="594">
        <v>46196.541666666664</v>
      </c>
      <c r="B86" s="16"/>
      <c r="C86" s="594">
        <f t="shared" ca="1" si="35"/>
        <v>46196.541666666664</v>
      </c>
      <c r="D86" s="622"/>
      <c r="P86" s="16">
        <v>84</v>
      </c>
      <c r="Q86" s="16" t="s">
        <v>375</v>
      </c>
      <c r="R86" s="16">
        <f t="shared" ca="1" si="22"/>
        <v>14</v>
      </c>
      <c r="S86" s="625">
        <f t="shared" ca="1" si="23"/>
        <v>0.58333333333333337</v>
      </c>
      <c r="T86" s="16">
        <f t="shared" ca="1" si="24"/>
        <v>0</v>
      </c>
      <c r="U86" s="16">
        <f t="shared" ca="1" si="25"/>
        <v>18</v>
      </c>
      <c r="V86" s="625">
        <f t="shared" ca="1" si="26"/>
        <v>0.75</v>
      </c>
      <c r="W86" s="16">
        <f t="shared" ca="1" si="28"/>
        <v>1</v>
      </c>
      <c r="X86" s="16"/>
      <c r="AA86" s="16">
        <v>84</v>
      </c>
      <c r="AB86" s="16" t="s">
        <v>375</v>
      </c>
      <c r="AC86" s="16">
        <v>14</v>
      </c>
      <c r="AD86" s="625">
        <f t="shared" si="32"/>
        <v>0.58333333333333337</v>
      </c>
      <c r="AE86" s="16">
        <v>0</v>
      </c>
      <c r="AF86" s="16">
        <f t="shared" ca="1" si="29"/>
        <v>18</v>
      </c>
      <c r="AG86" s="625">
        <f t="shared" ca="1" si="33"/>
        <v>0.75</v>
      </c>
      <c r="AH86" s="16">
        <f t="shared" ca="1" si="30"/>
        <v>1</v>
      </c>
      <c r="AI86" s="16"/>
    </row>
    <row r="87" spans="1:35" x14ac:dyDescent="0.2">
      <c r="A87" s="594">
        <v>46196.916666666664</v>
      </c>
      <c r="B87" s="16"/>
      <c r="C87" s="594">
        <f t="shared" ca="1" si="35"/>
        <v>46196.916666666664</v>
      </c>
      <c r="D87" s="622"/>
    </row>
    <row r="88" spans="1:35" x14ac:dyDescent="0.2">
      <c r="A88" s="594">
        <v>46200.8125</v>
      </c>
      <c r="B88" s="16"/>
      <c r="C88" s="594">
        <f t="shared" ca="1" si="35"/>
        <v>46200.8125</v>
      </c>
      <c r="D88" s="622"/>
    </row>
    <row r="89" spans="1:35" x14ac:dyDescent="0.2">
      <c r="A89" s="594">
        <v>46200.8125</v>
      </c>
      <c r="B89" s="16"/>
      <c r="C89" s="594">
        <f t="shared" ca="1" si="35"/>
        <v>46200.8125</v>
      </c>
      <c r="D89" s="622"/>
    </row>
    <row r="90" spans="1:35" x14ac:dyDescent="0.2">
      <c r="A90" s="16"/>
      <c r="B90" s="16"/>
      <c r="C90" s="594"/>
    </row>
    <row r="91" spans="1:35" x14ac:dyDescent="0.2">
      <c r="A91" s="9" t="s">
        <v>499</v>
      </c>
      <c r="B91" s="16"/>
      <c r="C91" s="594"/>
    </row>
    <row r="92" spans="1:35" x14ac:dyDescent="0.2">
      <c r="A92" s="594">
        <v>46190.666666666664</v>
      </c>
      <c r="B92" s="16"/>
      <c r="C92" s="594">
        <f t="shared" ref="C92:C97" ca="1" si="36">A92+INDEX($V$3:$V$86,MATCH($C$3,$P$3:$P$86,0))*INDEX($W$3:$W$86,MATCH($C$3,$P$3:$P$86,0))</f>
        <v>46190.666666666664</v>
      </c>
      <c r="D92" s="622"/>
    </row>
    <row r="93" spans="1:35" x14ac:dyDescent="0.2">
      <c r="A93" s="594">
        <v>46190.791666666664</v>
      </c>
      <c r="B93" s="16"/>
      <c r="C93" s="594">
        <f t="shared" ca="1" si="36"/>
        <v>46190.791666666664</v>
      </c>
      <c r="D93" s="622"/>
    </row>
    <row r="94" spans="1:35" x14ac:dyDescent="0.2">
      <c r="A94" s="594">
        <v>46196.666666666664</v>
      </c>
      <c r="B94" s="16"/>
      <c r="C94" s="594">
        <f t="shared" ca="1" si="36"/>
        <v>46196.666666666664</v>
      </c>
      <c r="D94" s="622"/>
    </row>
    <row r="95" spans="1:35" x14ac:dyDescent="0.2">
      <c r="A95" s="594">
        <v>46196.791666666664</v>
      </c>
      <c r="B95" s="16"/>
      <c r="C95" s="594">
        <f t="shared" ca="1" si="36"/>
        <v>46196.791666666664</v>
      </c>
      <c r="D95" s="622"/>
    </row>
    <row r="96" spans="1:35" x14ac:dyDescent="0.2">
      <c r="A96" s="594">
        <v>46200.708333333336</v>
      </c>
      <c r="B96" s="16"/>
      <c r="C96" s="594">
        <f t="shared" ca="1" si="36"/>
        <v>46200.708333333336</v>
      </c>
      <c r="D96" s="622"/>
    </row>
    <row r="97" spans="1:10" x14ac:dyDescent="0.2">
      <c r="A97" s="594">
        <v>46200.708333333336</v>
      </c>
      <c r="B97" s="16"/>
      <c r="C97" s="594">
        <f t="shared" ca="1" si="36"/>
        <v>46200.708333333336</v>
      </c>
      <c r="D97" s="622"/>
    </row>
    <row r="98" spans="1:10" x14ac:dyDescent="0.2">
      <c r="A98" s="16"/>
      <c r="B98" s="16"/>
      <c r="C98" s="16"/>
    </row>
    <row r="99" spans="1:10" x14ac:dyDescent="0.2">
      <c r="A99" s="16"/>
      <c r="B99" s="16"/>
      <c r="C99" s="16"/>
    </row>
    <row r="100" spans="1:10" x14ac:dyDescent="0.2">
      <c r="A100" s="626" t="s">
        <v>500</v>
      </c>
      <c r="B100" s="16"/>
      <c r="C100" s="594"/>
      <c r="F100" s="16" t="s">
        <v>1455</v>
      </c>
      <c r="G100" s="16"/>
      <c r="I100" s="16" t="s">
        <v>1454</v>
      </c>
      <c r="J100" s="16"/>
    </row>
    <row r="101" spans="1:10" x14ac:dyDescent="0.2">
      <c r="A101" s="594">
        <v>46201.625</v>
      </c>
      <c r="B101" s="16"/>
      <c r="C101" s="594">
        <f t="shared" ref="C101:C116" ca="1" si="37">A101+INDEX($V$3:$V$86,MATCH($C$3,$P$3:$P$86,0))*INDEX($W$3:$W$86,MATCH($C$3,$P$3:$P$86,0))</f>
        <v>46201.625</v>
      </c>
      <c r="F101" s="16">
        <v>73</v>
      </c>
      <c r="G101" s="594">
        <v>46201.625</v>
      </c>
      <c r="I101" s="16">
        <v>73</v>
      </c>
      <c r="J101" s="594">
        <v>46201.625</v>
      </c>
    </row>
    <row r="102" spans="1:10" x14ac:dyDescent="0.2">
      <c r="A102" s="594">
        <v>46202.541666666664</v>
      </c>
      <c r="B102" s="16"/>
      <c r="C102" s="594">
        <f t="shared" ca="1" si="37"/>
        <v>46202.541666666664</v>
      </c>
      <c r="F102" s="16">
        <v>76</v>
      </c>
      <c r="G102" s="594">
        <v>46202.541666666664</v>
      </c>
      <c r="I102" s="16">
        <v>74</v>
      </c>
      <c r="J102" s="594">
        <v>46202.6875</v>
      </c>
    </row>
    <row r="103" spans="1:10" x14ac:dyDescent="0.2">
      <c r="A103" s="594">
        <v>46202.6875</v>
      </c>
      <c r="B103" s="16"/>
      <c r="C103" s="594">
        <f t="shared" ca="1" si="37"/>
        <v>46202.6875</v>
      </c>
      <c r="F103" s="16">
        <v>74</v>
      </c>
      <c r="G103" s="594">
        <v>46202.6875</v>
      </c>
      <c r="I103" s="16">
        <v>75</v>
      </c>
      <c r="J103" s="594">
        <v>46202.875</v>
      </c>
    </row>
    <row r="104" spans="1:10" x14ac:dyDescent="0.2">
      <c r="A104" s="594">
        <v>46202.875</v>
      </c>
      <c r="B104" s="16"/>
      <c r="C104" s="594">
        <f t="shared" ca="1" si="37"/>
        <v>46202.875</v>
      </c>
      <c r="F104" s="16">
        <v>75</v>
      </c>
      <c r="G104" s="594">
        <v>46202.875</v>
      </c>
      <c r="I104" s="16">
        <v>76</v>
      </c>
      <c r="J104" s="594">
        <v>46202.541666666664</v>
      </c>
    </row>
    <row r="105" spans="1:10" x14ac:dyDescent="0.2">
      <c r="A105" s="594">
        <v>46203.541666666664</v>
      </c>
      <c r="B105" s="16"/>
      <c r="C105" s="594">
        <f t="shared" ca="1" si="37"/>
        <v>46203.541666666664</v>
      </c>
      <c r="F105" s="16">
        <v>78</v>
      </c>
      <c r="G105" s="594">
        <v>46203.541666666664</v>
      </c>
      <c r="I105" s="16">
        <v>77</v>
      </c>
      <c r="J105" s="594">
        <v>46203.708333333336</v>
      </c>
    </row>
    <row r="106" spans="1:10" x14ac:dyDescent="0.2">
      <c r="A106" s="594">
        <v>46203.708333333336</v>
      </c>
      <c r="B106" s="16"/>
      <c r="C106" s="594">
        <f t="shared" ca="1" si="37"/>
        <v>46203.708333333336</v>
      </c>
      <c r="F106" s="16">
        <v>77</v>
      </c>
      <c r="G106" s="594">
        <v>46203.708333333336</v>
      </c>
      <c r="I106" s="16">
        <v>78</v>
      </c>
      <c r="J106" s="594">
        <v>46203.541666666664</v>
      </c>
    </row>
    <row r="107" spans="1:10" x14ac:dyDescent="0.2">
      <c r="A107" s="594">
        <v>46203.875</v>
      </c>
      <c r="B107" s="16"/>
      <c r="C107" s="594">
        <f t="shared" ca="1" si="37"/>
        <v>46203.875</v>
      </c>
      <c r="F107" s="16">
        <v>79</v>
      </c>
      <c r="G107" s="594">
        <v>46203.875</v>
      </c>
      <c r="I107" s="16">
        <v>79</v>
      </c>
      <c r="J107" s="594">
        <v>46203.875</v>
      </c>
    </row>
    <row r="108" spans="1:10" x14ac:dyDescent="0.2">
      <c r="A108" s="594">
        <v>46204.5</v>
      </c>
      <c r="B108" s="16"/>
      <c r="C108" s="594">
        <f t="shared" ca="1" si="37"/>
        <v>46204.5</v>
      </c>
      <c r="F108" s="16">
        <v>80</v>
      </c>
      <c r="G108" s="594">
        <v>46204.5</v>
      </c>
      <c r="I108" s="16">
        <v>80</v>
      </c>
      <c r="J108" s="594">
        <v>46204.5</v>
      </c>
    </row>
    <row r="109" spans="1:10" x14ac:dyDescent="0.2">
      <c r="A109" s="594">
        <v>46204.666666666664</v>
      </c>
      <c r="B109" s="16"/>
      <c r="C109" s="594">
        <f t="shared" ca="1" si="37"/>
        <v>46204.666666666664</v>
      </c>
      <c r="F109" s="16">
        <v>82</v>
      </c>
      <c r="G109" s="594">
        <v>46204.666666666664</v>
      </c>
      <c r="I109" s="16">
        <v>81</v>
      </c>
      <c r="J109" s="594">
        <v>46204.833333333336</v>
      </c>
    </row>
    <row r="110" spans="1:10" x14ac:dyDescent="0.2">
      <c r="A110" s="594">
        <v>46204.833333333336</v>
      </c>
      <c r="B110" s="16"/>
      <c r="C110" s="594">
        <f t="shared" ca="1" si="37"/>
        <v>46204.833333333336</v>
      </c>
      <c r="F110" s="16">
        <v>81</v>
      </c>
      <c r="G110" s="594">
        <v>46204.833333333336</v>
      </c>
      <c r="I110" s="16">
        <v>82</v>
      </c>
      <c r="J110" s="594">
        <v>46204.666666666664</v>
      </c>
    </row>
    <row r="111" spans="1:10" x14ac:dyDescent="0.2">
      <c r="A111" s="594">
        <v>46205.625</v>
      </c>
      <c r="B111" s="16"/>
      <c r="C111" s="594">
        <f t="shared" ca="1" si="37"/>
        <v>46205.625</v>
      </c>
      <c r="F111" s="16">
        <v>84</v>
      </c>
      <c r="G111" s="594">
        <v>46205.625</v>
      </c>
      <c r="I111" s="16">
        <v>83</v>
      </c>
      <c r="J111" s="594">
        <v>46205.791666666664</v>
      </c>
    </row>
    <row r="112" spans="1:10" x14ac:dyDescent="0.2">
      <c r="A112" s="594">
        <v>46205.791666666664</v>
      </c>
      <c r="B112" s="16"/>
      <c r="C112" s="594">
        <f t="shared" ca="1" si="37"/>
        <v>46205.791666666664</v>
      </c>
      <c r="F112" s="16">
        <v>83</v>
      </c>
      <c r="G112" s="594">
        <v>46205.791666666664</v>
      </c>
      <c r="I112" s="16">
        <v>84</v>
      </c>
      <c r="J112" s="594">
        <v>46205.625</v>
      </c>
    </row>
    <row r="113" spans="1:10" x14ac:dyDescent="0.2">
      <c r="A113" s="594">
        <v>46205.958333333336</v>
      </c>
      <c r="B113" s="16"/>
      <c r="C113" s="594">
        <f t="shared" ca="1" si="37"/>
        <v>46205.958333333336</v>
      </c>
      <c r="F113" s="16">
        <v>85</v>
      </c>
      <c r="G113" s="594">
        <v>46205.958333333336</v>
      </c>
      <c r="I113" s="16">
        <v>85</v>
      </c>
      <c r="J113" s="594">
        <v>46205.958333333336</v>
      </c>
    </row>
    <row r="114" spans="1:10" x14ac:dyDescent="0.2">
      <c r="A114" s="594">
        <v>46206.583333333336</v>
      </c>
      <c r="B114" s="16"/>
      <c r="C114" s="594">
        <f t="shared" ca="1" si="37"/>
        <v>46206.583333333336</v>
      </c>
      <c r="F114" s="16">
        <v>88</v>
      </c>
      <c r="G114" s="594">
        <v>46206.583333333336</v>
      </c>
      <c r="I114" s="16">
        <v>86</v>
      </c>
      <c r="J114" s="594">
        <v>46206.75</v>
      </c>
    </row>
    <row r="115" spans="1:10" x14ac:dyDescent="0.2">
      <c r="A115" s="594">
        <v>46206.75</v>
      </c>
      <c r="B115" s="16"/>
      <c r="C115" s="594">
        <f t="shared" ca="1" si="37"/>
        <v>46206.75</v>
      </c>
      <c r="F115" s="16">
        <v>86</v>
      </c>
      <c r="G115" s="594">
        <v>46206.75</v>
      </c>
      <c r="I115" s="16">
        <v>87</v>
      </c>
      <c r="J115" s="594">
        <v>46206.895833333336</v>
      </c>
    </row>
    <row r="116" spans="1:10" x14ac:dyDescent="0.2">
      <c r="A116" s="594">
        <v>46206.895833333336</v>
      </c>
      <c r="B116" s="16"/>
      <c r="C116" s="594">
        <f t="shared" ca="1" si="37"/>
        <v>46206.895833333336</v>
      </c>
      <c r="F116" s="16">
        <v>87</v>
      </c>
      <c r="G116" s="594">
        <v>46206.895833333336</v>
      </c>
      <c r="I116" s="16">
        <v>88</v>
      </c>
      <c r="J116" s="594">
        <v>46206.583333333336</v>
      </c>
    </row>
    <row r="117" spans="1:10" x14ac:dyDescent="0.2">
      <c r="A117" s="16"/>
      <c r="B117" s="16"/>
      <c r="C117" s="594"/>
      <c r="F117" s="16"/>
      <c r="G117" s="594"/>
      <c r="I117" s="16"/>
      <c r="J117" s="16"/>
    </row>
    <row r="118" spans="1:10" x14ac:dyDescent="0.2">
      <c r="A118" s="16"/>
      <c r="B118" s="16"/>
      <c r="C118" s="594"/>
      <c r="F118" s="16"/>
      <c r="G118" s="594"/>
      <c r="I118" s="16"/>
      <c r="J118" s="16"/>
    </row>
    <row r="119" spans="1:10" x14ac:dyDescent="0.2">
      <c r="A119" s="626" t="s">
        <v>729</v>
      </c>
      <c r="B119" s="16"/>
      <c r="C119" s="16"/>
      <c r="F119" s="16"/>
      <c r="G119" s="594"/>
      <c r="I119" s="16"/>
      <c r="J119" s="16"/>
    </row>
    <row r="120" spans="1:10" x14ac:dyDescent="0.2">
      <c r="A120" s="594">
        <v>46207.541666666664</v>
      </c>
      <c r="B120" s="16"/>
      <c r="C120" s="594">
        <f t="shared" ref="C120:C127" ca="1" si="38">A120+INDEX($V$3:$V$86,MATCH($C$3,$P$3:$P$86,0))*INDEX($W$3:$W$86,MATCH($C$3,$P$3:$P$86,0))</f>
        <v>46207.541666666664</v>
      </c>
      <c r="D120" s="622"/>
      <c r="F120" s="16">
        <v>90</v>
      </c>
      <c r="G120" s="594">
        <v>46207.541666666664</v>
      </c>
      <c r="I120" s="16">
        <v>89</v>
      </c>
      <c r="J120" s="594">
        <v>46207.708333333336</v>
      </c>
    </row>
    <row r="121" spans="1:10" x14ac:dyDescent="0.2">
      <c r="A121" s="594">
        <v>46207.708333333336</v>
      </c>
      <c r="B121" s="16"/>
      <c r="C121" s="594">
        <f t="shared" ca="1" si="38"/>
        <v>46207.708333333336</v>
      </c>
      <c r="D121" s="622"/>
      <c r="F121" s="16">
        <v>89</v>
      </c>
      <c r="G121" s="594">
        <v>46207.708333333336</v>
      </c>
      <c r="I121" s="16">
        <v>90</v>
      </c>
      <c r="J121" s="594">
        <v>46207.541666666664</v>
      </c>
    </row>
    <row r="122" spans="1:10" x14ac:dyDescent="0.2">
      <c r="A122" s="594">
        <v>46208.666666666664</v>
      </c>
      <c r="B122" s="16"/>
      <c r="C122" s="594">
        <f t="shared" ca="1" si="38"/>
        <v>46208.666666666664</v>
      </c>
      <c r="D122" s="622"/>
      <c r="F122" s="16">
        <v>91</v>
      </c>
      <c r="G122" s="594">
        <v>46208.666666666664</v>
      </c>
      <c r="I122" s="16">
        <v>91</v>
      </c>
      <c r="J122" s="594">
        <v>46208.666666666664</v>
      </c>
    </row>
    <row r="123" spans="1:10" x14ac:dyDescent="0.2">
      <c r="A123" s="594">
        <v>46208.833333333336</v>
      </c>
      <c r="B123" s="16"/>
      <c r="C123" s="594">
        <f t="shared" ca="1" si="38"/>
        <v>46208.833333333336</v>
      </c>
      <c r="D123" s="622"/>
      <c r="F123" s="16">
        <v>92</v>
      </c>
      <c r="G123" s="594">
        <v>46208.833333333336</v>
      </c>
      <c r="I123" s="16">
        <v>92</v>
      </c>
      <c r="J123" s="594">
        <v>46208.833333333336</v>
      </c>
    </row>
    <row r="124" spans="1:10" x14ac:dyDescent="0.2">
      <c r="A124" s="594">
        <v>46209.625</v>
      </c>
      <c r="B124" s="16"/>
      <c r="C124" s="594">
        <f t="shared" ca="1" si="38"/>
        <v>46209.625</v>
      </c>
      <c r="D124" s="622"/>
      <c r="F124" s="16">
        <v>93</v>
      </c>
      <c r="G124" s="594">
        <v>46209.625</v>
      </c>
      <c r="I124" s="16">
        <v>93</v>
      </c>
      <c r="J124" s="594">
        <v>46209.625</v>
      </c>
    </row>
    <row r="125" spans="1:10" x14ac:dyDescent="0.2">
      <c r="A125" s="594">
        <v>46209.833333333336</v>
      </c>
      <c r="B125" s="16"/>
      <c r="C125" s="594">
        <f t="shared" ca="1" si="38"/>
        <v>46209.833333333336</v>
      </c>
      <c r="D125" s="622"/>
      <c r="F125" s="16">
        <v>94</v>
      </c>
      <c r="G125" s="594">
        <v>46209.833333333336</v>
      </c>
      <c r="I125" s="16">
        <v>94</v>
      </c>
      <c r="J125" s="594">
        <v>46209.833333333336</v>
      </c>
    </row>
    <row r="126" spans="1:10" x14ac:dyDescent="0.2">
      <c r="A126" s="594">
        <v>46210.5</v>
      </c>
      <c r="B126" s="16"/>
      <c r="C126" s="594">
        <f t="shared" ca="1" si="38"/>
        <v>46210.5</v>
      </c>
      <c r="D126" s="622"/>
      <c r="F126" s="16">
        <v>95</v>
      </c>
      <c r="G126" s="594">
        <v>46210.5</v>
      </c>
      <c r="I126" s="16">
        <v>95</v>
      </c>
      <c r="J126" s="594">
        <v>46210.5</v>
      </c>
    </row>
    <row r="127" spans="1:10" x14ac:dyDescent="0.2">
      <c r="A127" s="594">
        <v>46210.666666666664</v>
      </c>
      <c r="B127" s="16"/>
      <c r="C127" s="594">
        <f t="shared" ca="1" si="38"/>
        <v>46210.666666666664</v>
      </c>
      <c r="D127" s="622"/>
      <c r="F127" s="16">
        <v>96</v>
      </c>
      <c r="G127" s="594">
        <v>46210.666666666664</v>
      </c>
      <c r="I127" s="16">
        <v>96</v>
      </c>
      <c r="J127" s="594">
        <v>46210.666666666664</v>
      </c>
    </row>
    <row r="128" spans="1:10" x14ac:dyDescent="0.2">
      <c r="A128" s="16"/>
      <c r="B128" s="16"/>
      <c r="C128" s="16"/>
      <c r="F128" s="16"/>
      <c r="G128" s="594"/>
      <c r="I128" s="16"/>
      <c r="J128" s="16"/>
    </row>
    <row r="129" spans="1:10" x14ac:dyDescent="0.2">
      <c r="A129" s="16"/>
      <c r="B129" s="16"/>
      <c r="C129" s="16"/>
      <c r="F129" s="16"/>
      <c r="G129" s="594"/>
      <c r="I129" s="16"/>
      <c r="J129" s="16"/>
    </row>
    <row r="130" spans="1:10" x14ac:dyDescent="0.2">
      <c r="A130" s="626" t="s">
        <v>96</v>
      </c>
      <c r="B130" s="16"/>
      <c r="C130" s="594"/>
      <c r="F130" s="16"/>
      <c r="G130" s="594"/>
      <c r="I130" s="16"/>
      <c r="J130" s="16"/>
    </row>
    <row r="131" spans="1:10" x14ac:dyDescent="0.2">
      <c r="A131" s="594">
        <v>46212.666666666664</v>
      </c>
      <c r="B131" s="16"/>
      <c r="C131" s="594">
        <f ca="1">A131+INDEX($V$3:$V$86,MATCH($C$3,$P$3:$P$86,0))*INDEX($W$3:$W$86,MATCH($C$3,$P$3:$P$86,0))</f>
        <v>46212.666666666664</v>
      </c>
      <c r="D131" s="622"/>
      <c r="F131" s="16">
        <v>97</v>
      </c>
      <c r="G131" s="594">
        <v>46212.666666666664</v>
      </c>
      <c r="I131" s="16">
        <v>97</v>
      </c>
      <c r="J131" s="594">
        <v>46212.666666666664</v>
      </c>
    </row>
    <row r="132" spans="1:10" x14ac:dyDescent="0.2">
      <c r="A132" s="594">
        <v>46213.625</v>
      </c>
      <c r="B132" s="16"/>
      <c r="C132" s="594">
        <f ca="1">A132+INDEX($V$3:$V$86,MATCH($C$3,$P$3:$P$86,0))*INDEX($W$3:$W$86,MATCH($C$3,$P$3:$P$86,0))</f>
        <v>46213.625</v>
      </c>
      <c r="D132" s="622"/>
      <c r="F132" s="16">
        <v>98</v>
      </c>
      <c r="G132" s="594">
        <v>46213.625</v>
      </c>
      <c r="I132" s="16">
        <v>98</v>
      </c>
      <c r="J132" s="594">
        <v>46213.625</v>
      </c>
    </row>
    <row r="133" spans="1:10" x14ac:dyDescent="0.2">
      <c r="A133" s="594">
        <v>46214.708333333336</v>
      </c>
      <c r="B133" s="16"/>
      <c r="C133" s="594">
        <f ca="1">A133+INDEX($V$3:$V$86,MATCH($C$3,$P$3:$P$86,0))*INDEX($W$3:$W$86,MATCH($C$3,$P$3:$P$86,0))</f>
        <v>46214.708333333336</v>
      </c>
      <c r="D133" s="622"/>
      <c r="F133" s="16">
        <v>99</v>
      </c>
      <c r="G133" s="594">
        <v>46214.708333333336</v>
      </c>
      <c r="I133" s="16">
        <v>99</v>
      </c>
      <c r="J133" s="594">
        <v>46214.708333333336</v>
      </c>
    </row>
    <row r="134" spans="1:10" x14ac:dyDescent="0.2">
      <c r="A134" s="594">
        <v>46214.875</v>
      </c>
      <c r="B134" s="16"/>
      <c r="C134" s="594">
        <f ca="1">A134+INDEX($V$3:$V$86,MATCH($C$3,$P$3:$P$86,0))*INDEX($W$3:$W$86,MATCH($C$3,$P$3:$P$86,0))</f>
        <v>46214.875</v>
      </c>
      <c r="D134" s="622"/>
      <c r="F134" s="16">
        <v>100</v>
      </c>
      <c r="G134" s="594">
        <v>46214.875</v>
      </c>
      <c r="I134" s="16">
        <v>100</v>
      </c>
      <c r="J134" s="594">
        <v>46214.875</v>
      </c>
    </row>
    <row r="135" spans="1:10" x14ac:dyDescent="0.2">
      <c r="A135" s="16"/>
      <c r="B135" s="16"/>
      <c r="C135" s="594"/>
    </row>
    <row r="136" spans="1:10" x14ac:dyDescent="0.2">
      <c r="A136" s="16"/>
      <c r="B136" s="16"/>
      <c r="C136" s="16"/>
    </row>
    <row r="137" spans="1:10" x14ac:dyDescent="0.2">
      <c r="A137" s="627" t="s">
        <v>43</v>
      </c>
      <c r="B137" s="16"/>
      <c r="C137" s="594"/>
    </row>
    <row r="138" spans="1:10" x14ac:dyDescent="0.2">
      <c r="A138" s="594">
        <v>46217.625</v>
      </c>
      <c r="B138" s="16"/>
      <c r="C138" s="594">
        <f ca="1">A138+INDEX($V$3:$V$86,MATCH($C$3,$P$3:$P$86,0))*INDEX($W$3:$W$86,MATCH($C$3,$P$3:$P$86,0))</f>
        <v>46217.625</v>
      </c>
      <c r="D138" s="622"/>
    </row>
    <row r="139" spans="1:10" x14ac:dyDescent="0.2">
      <c r="A139" s="594">
        <v>46218.625</v>
      </c>
      <c r="B139" s="16"/>
      <c r="C139" s="594">
        <f ca="1">A139+INDEX($V$3:$V$86,MATCH($C$3,$P$3:$P$86,0))*INDEX($W$3:$W$86,MATCH($C$3,$P$3:$P$86,0))</f>
        <v>46218.625</v>
      </c>
      <c r="D139" s="622"/>
    </row>
    <row r="140" spans="1:10" x14ac:dyDescent="0.2">
      <c r="A140" s="16"/>
      <c r="B140" s="16"/>
      <c r="C140" s="594"/>
    </row>
    <row r="141" spans="1:10" x14ac:dyDescent="0.2">
      <c r="A141" s="16"/>
      <c r="B141" s="16"/>
      <c r="C141" s="16"/>
    </row>
    <row r="142" spans="1:10" x14ac:dyDescent="0.2">
      <c r="A142" s="628" t="s">
        <v>503</v>
      </c>
      <c r="B142" s="16"/>
      <c r="C142" s="16"/>
    </row>
    <row r="143" spans="1:10" x14ac:dyDescent="0.2">
      <c r="A143" s="594">
        <v>46221.708333333336</v>
      </c>
      <c r="B143" s="16"/>
      <c r="C143" s="594">
        <f ca="1">A143+INDEX($V$3:$V$86,MATCH($C$3,$P$3:$P$86,0))*INDEX($W$3:$W$86,MATCH($C$3,$P$3:$P$86,0))</f>
        <v>46221.708333333336</v>
      </c>
      <c r="D143" s="622"/>
    </row>
    <row r="144" spans="1:10" x14ac:dyDescent="0.2">
      <c r="A144" s="16"/>
      <c r="B144" s="16"/>
      <c r="C144" s="16"/>
    </row>
    <row r="145" spans="1:4" x14ac:dyDescent="0.2">
      <c r="A145" s="16"/>
      <c r="B145" s="16"/>
      <c r="C145" s="16"/>
    </row>
    <row r="146" spans="1:4" x14ac:dyDescent="0.2">
      <c r="A146" s="629" t="s">
        <v>4</v>
      </c>
      <c r="B146" s="16"/>
      <c r="C146" s="594"/>
    </row>
    <row r="147" spans="1:4" x14ac:dyDescent="0.2">
      <c r="A147" s="594">
        <v>46222.625</v>
      </c>
      <c r="B147" s="16"/>
      <c r="C147" s="594">
        <f ca="1">A147+INDEX($V$3:$V$86,MATCH($C$3,$P$3:$P$86,0))*INDEX($W$3:$W$86,MATCH($C$3,$P$3:$P$86,0))</f>
        <v>46222.625</v>
      </c>
      <c r="D147" s="622"/>
    </row>
  </sheetData>
  <sheetProtection algorithmName="SHA-512" hashValue="0C2ndOFA6fCpJ2HjImPD0ve4aHfOJR/WDsCceq524KzCqTvlmUWExSaYxwA9OvQgyIrWFoMNHLTZUC6A5FT6pg==" saltValue="SwvkIHqyjur7Z/tMdwOXzg==" spinCount="100000" sheet="1" objects="1" scenarios="1" selectLockedCells="1" selectUnlockedCells="1"/>
  <conditionalFormatting sqref="F4:F27">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17</vt:i4>
      </vt:variant>
    </vt:vector>
  </HeadingPairs>
  <TitlesOfParts>
    <vt:vector size="22" baseType="lpstr">
      <vt:lpstr>Home</vt:lpstr>
      <vt:lpstr>WORLDCUP</vt:lpstr>
      <vt:lpstr>Pool</vt:lpstr>
      <vt:lpstr>Fixture</vt:lpstr>
      <vt:lpstr>Credits</vt:lpstr>
      <vt:lpstr>FG_GolesLocal</vt:lpstr>
      <vt:lpstr>FG_GolesVisitante</vt:lpstr>
      <vt:lpstr>FGLocal</vt:lpstr>
      <vt:lpstr>FGVisitante</vt:lpstr>
      <vt:lpstr>Ganador</vt:lpstr>
      <vt:lpstr>Part1Empate1L</vt:lpstr>
      <vt:lpstr>Part1Empate1V</vt:lpstr>
      <vt:lpstr>Part1Empate2L</vt:lpstr>
      <vt:lpstr>Part1Empate2V</vt:lpstr>
      <vt:lpstr>Part1Empate3L</vt:lpstr>
      <vt:lpstr>Part1Empate3V</vt:lpstr>
      <vt:lpstr>Part2Empate4L</vt:lpstr>
      <vt:lpstr>Part2Empate4V</vt:lpstr>
      <vt:lpstr>Part2Empate5L</vt:lpstr>
      <vt:lpstr>Part2Empate5V</vt:lpstr>
      <vt:lpstr>Part2Empate6L</vt:lpstr>
      <vt:lpstr>Part2Empate6V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matejero</dc:creator>
  <cp:lastModifiedBy>Miguel Angel Tejero</cp:lastModifiedBy>
  <cp:lastPrinted>2018-12-06T18:06:35Z</cp:lastPrinted>
  <dcterms:created xsi:type="dcterms:W3CDTF">2015-10-31T09:41:54Z</dcterms:created>
  <dcterms:modified xsi:type="dcterms:W3CDTF">2026-05-14T17:46:12Z</dcterms:modified>
</cp:coreProperties>
</file>